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8705"/>
  <workbookPr autoCompressPictures="0"/>
  <workbookProtection workbookPassword="CC59" lockStructure="1"/>
  <bookViews>
    <workbookView xWindow="0" yWindow="0" windowWidth="17760" windowHeight="15540" tabRatio="762"/>
  </bookViews>
  <sheets>
    <sheet name="目次・使用マニュアル" sheetId="12" r:id="rId1"/>
    <sheet name="基本情報" sheetId="8" r:id="rId2"/>
    <sheet name="暖房" sheetId="2" r:id="rId3"/>
    <sheet name="冷房" sheetId="4" r:id="rId4"/>
    <sheet name="給湯" sheetId="5" r:id="rId5"/>
    <sheet name="その他" sheetId="6" r:id="rId6"/>
    <sheet name="発電" sheetId="11" r:id="rId7"/>
    <sheet name="合計" sheetId="7" r:id="rId8"/>
    <sheet name="都市別人数別標準値" sheetId="10" state="hidden" r:id="rId9"/>
    <sheet name="地域別用途別基準値" sheetId="1" state="hidden" r:id="rId10"/>
    <sheet name="計算過程" sheetId="3" state="hidden" r:id="rId11"/>
    <sheet name="光熱費の計算" sheetId="9" state="hidden" r:id="rId12"/>
  </sheet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3" i="3" l="1"/>
  <c r="B53" i="3"/>
  <c r="Y14" i="2"/>
  <c r="X14" i="2"/>
  <c r="Q54" i="9"/>
  <c r="B244" i="3"/>
  <c r="B243" i="3"/>
  <c r="B235" i="3"/>
  <c r="B234" i="3"/>
  <c r="B220" i="3"/>
  <c r="B219" i="3"/>
  <c r="B211" i="3"/>
  <c r="B210" i="3"/>
  <c r="B205" i="3"/>
  <c r="B204" i="3"/>
  <c r="B174" i="3"/>
  <c r="D174" i="3"/>
  <c r="B158" i="3"/>
  <c r="B157" i="3"/>
  <c r="B149" i="3"/>
  <c r="B148" i="3"/>
  <c r="B141" i="3"/>
  <c r="B140" i="3"/>
  <c r="B135" i="3"/>
  <c r="B134" i="3"/>
  <c r="B70" i="3"/>
  <c r="B69" i="3"/>
  <c r="B61" i="3"/>
  <c r="B60" i="3"/>
  <c r="F54" i="3"/>
  <c r="B54" i="3"/>
  <c r="C42" i="3"/>
  <c r="C41" i="3"/>
  <c r="B37" i="3"/>
  <c r="D37" i="3"/>
  <c r="D331" i="3"/>
  <c r="D326" i="3"/>
  <c r="B326" i="3"/>
  <c r="C316" i="3"/>
  <c r="C319" i="3"/>
  <c r="B323" i="3"/>
  <c r="B333" i="3"/>
  <c r="B322" i="3"/>
  <c r="B332" i="3"/>
  <c r="C322" i="3"/>
  <c r="C323" i="3"/>
  <c r="D37" i="7"/>
  <c r="N38" i="7"/>
  <c r="D38" i="7"/>
  <c r="F37" i="7"/>
  <c r="O38" i="7"/>
  <c r="F38" i="7"/>
  <c r="H279" i="3"/>
  <c r="B271" i="3"/>
  <c r="H256" i="3"/>
  <c r="B249" i="3"/>
  <c r="B125" i="3"/>
  <c r="B128" i="3"/>
  <c r="B124" i="3"/>
  <c r="B127" i="3"/>
  <c r="T21" i="11"/>
  <c r="T4" i="10"/>
  <c r="AI4" i="10"/>
  <c r="T2" i="10"/>
  <c r="U3" i="10"/>
  <c r="U33" i="9"/>
  <c r="U13" i="9"/>
  <c r="AI2" i="10"/>
  <c r="S3" i="10"/>
  <c r="W3" i="10"/>
  <c r="T3" i="10"/>
  <c r="X3" i="10"/>
  <c r="V3" i="10"/>
  <c r="F78" i="9"/>
  <c r="E78" i="9"/>
  <c r="E83" i="9"/>
  <c r="D83" i="9"/>
  <c r="T5" i="10"/>
  <c r="F4" i="7"/>
  <c r="AJ3" i="10"/>
  <c r="AM3" i="10"/>
  <c r="AI3" i="10"/>
  <c r="AL3" i="10"/>
  <c r="AH3" i="10"/>
  <c r="AK3" i="10"/>
  <c r="E71" i="9"/>
  <c r="D71" i="9"/>
  <c r="E70" i="9"/>
  <c r="C333" i="3"/>
  <c r="D70" i="9"/>
  <c r="N3" i="9"/>
  <c r="M3" i="9"/>
  <c r="C74" i="9"/>
  <c r="C332" i="3"/>
  <c r="AI5" i="10"/>
  <c r="D5" i="7"/>
  <c r="D4" i="7"/>
  <c r="C75" i="9"/>
  <c r="C80" i="9"/>
  <c r="C79" i="9"/>
  <c r="B175" i="3"/>
  <c r="B38" i="3"/>
  <c r="B77" i="3"/>
  <c r="G6" i="9"/>
  <c r="C312" i="3"/>
  <c r="C311" i="3"/>
  <c r="E306" i="3"/>
  <c r="C310" i="3"/>
  <c r="C309" i="3"/>
  <c r="C308" i="3"/>
  <c r="C307" i="3"/>
  <c r="F16" i="3"/>
  <c r="F15" i="3"/>
  <c r="F14" i="3"/>
  <c r="K56" i="1"/>
  <c r="K55" i="1"/>
  <c r="K54" i="1"/>
  <c r="K53" i="1"/>
  <c r="K52" i="1"/>
  <c r="K51" i="1"/>
  <c r="K20" i="1"/>
  <c r="K19" i="1"/>
  <c r="K18" i="1"/>
  <c r="K17" i="1"/>
  <c r="K16" i="1"/>
  <c r="K15" i="1"/>
  <c r="B302" i="3"/>
  <c r="H277" i="3"/>
  <c r="B272" i="3"/>
  <c r="D272" i="3"/>
  <c r="H288" i="3"/>
  <c r="H289" i="3"/>
  <c r="B284" i="3"/>
  <c r="D284" i="3"/>
  <c r="H276" i="3"/>
  <c r="H254" i="3"/>
  <c r="B248" i="3"/>
  <c r="D248" i="3"/>
  <c r="H252" i="3"/>
  <c r="H267" i="3"/>
  <c r="B250" i="3"/>
  <c r="H290" i="3"/>
  <c r="B285" i="3"/>
  <c r="D285" i="3"/>
  <c r="H287" i="3"/>
  <c r="H275" i="3"/>
  <c r="H274" i="3"/>
  <c r="B270" i="3"/>
  <c r="D270" i="3"/>
  <c r="H253" i="3"/>
  <c r="C266" i="3"/>
  <c r="C267" i="3"/>
  <c r="D264" i="3"/>
  <c r="D263" i="3"/>
  <c r="D254" i="3"/>
  <c r="D253" i="3"/>
  <c r="D252" i="3"/>
  <c r="D250" i="3"/>
  <c r="F66" i="6"/>
  <c r="D66" i="6"/>
  <c r="D72" i="6"/>
  <c r="D78" i="6"/>
  <c r="F78" i="6"/>
  <c r="F72" i="6"/>
  <c r="D13" i="1"/>
  <c r="G3" i="2"/>
  <c r="D49" i="1"/>
  <c r="E30" i="6"/>
  <c r="H293" i="3"/>
  <c r="H295" i="3"/>
  <c r="B301" i="3"/>
  <c r="I10" i="2"/>
  <c r="I13" i="2"/>
  <c r="F10" i="2"/>
  <c r="D38" i="6"/>
  <c r="F38" i="6"/>
  <c r="D302" i="3"/>
  <c r="F82" i="6"/>
  <c r="E89" i="6"/>
  <c r="D301" i="3"/>
  <c r="D82" i="6"/>
  <c r="E97" i="6"/>
  <c r="F22" i="7"/>
  <c r="C89" i="6"/>
  <c r="F21" i="7"/>
  <c r="C97" i="6"/>
  <c r="E98" i="6"/>
  <c r="D22" i="7"/>
  <c r="E92" i="6"/>
  <c r="E93" i="6"/>
  <c r="D21" i="7"/>
  <c r="H21" i="7"/>
  <c r="C6" i="4"/>
  <c r="D6" i="2"/>
  <c r="F13" i="2"/>
  <c r="J74" i="1"/>
  <c r="I74" i="1"/>
  <c r="H74" i="1"/>
  <c r="K74" i="1"/>
  <c r="G74" i="1"/>
  <c r="F74" i="1"/>
  <c r="E74" i="1"/>
  <c r="D74" i="1"/>
  <c r="C74" i="1"/>
  <c r="J73" i="1"/>
  <c r="I73" i="1"/>
  <c r="H73" i="1"/>
  <c r="K73" i="1"/>
  <c r="G73" i="1"/>
  <c r="F73" i="1"/>
  <c r="E73" i="1"/>
  <c r="D73" i="1"/>
  <c r="C73" i="1"/>
  <c r="J72" i="1"/>
  <c r="I72" i="1"/>
  <c r="H72" i="1"/>
  <c r="K72" i="1"/>
  <c r="G72" i="1"/>
  <c r="F72" i="1"/>
  <c r="E72" i="1"/>
  <c r="D72" i="1"/>
  <c r="C72" i="1"/>
  <c r="J71" i="1"/>
  <c r="I71" i="1"/>
  <c r="H71" i="1"/>
  <c r="K71" i="1"/>
  <c r="G71" i="1"/>
  <c r="F71" i="1"/>
  <c r="E71" i="1"/>
  <c r="D71" i="1"/>
  <c r="C71" i="1"/>
  <c r="J70" i="1"/>
  <c r="I70" i="1"/>
  <c r="H70" i="1"/>
  <c r="K70" i="1"/>
  <c r="G70" i="1"/>
  <c r="F70" i="1"/>
  <c r="E70" i="1"/>
  <c r="D70" i="1"/>
  <c r="C70" i="1"/>
  <c r="J69" i="1"/>
  <c r="I69" i="1"/>
  <c r="H69" i="1"/>
  <c r="K69" i="1"/>
  <c r="G69" i="1"/>
  <c r="F69" i="1"/>
  <c r="E69" i="1"/>
  <c r="D69" i="1"/>
  <c r="C69" i="1"/>
  <c r="J65" i="1"/>
  <c r="I65" i="1"/>
  <c r="H65" i="1"/>
  <c r="K65" i="1"/>
  <c r="G65" i="1"/>
  <c r="F65" i="1"/>
  <c r="E65" i="1"/>
  <c r="D65" i="1"/>
  <c r="C65" i="1"/>
  <c r="J64" i="1"/>
  <c r="I64" i="1"/>
  <c r="H64" i="1"/>
  <c r="K64" i="1"/>
  <c r="G64" i="1"/>
  <c r="F64" i="1"/>
  <c r="E64" i="1"/>
  <c r="D64" i="1"/>
  <c r="C64" i="1"/>
  <c r="J63" i="1"/>
  <c r="I63" i="1"/>
  <c r="H63" i="1"/>
  <c r="K63" i="1"/>
  <c r="G63" i="1"/>
  <c r="F63" i="1"/>
  <c r="E63" i="1"/>
  <c r="D63" i="1"/>
  <c r="C63" i="1"/>
  <c r="J62" i="1"/>
  <c r="I62" i="1"/>
  <c r="H62" i="1"/>
  <c r="K62" i="1"/>
  <c r="G62" i="1"/>
  <c r="F62" i="1"/>
  <c r="E62" i="1"/>
  <c r="D62" i="1"/>
  <c r="C62" i="1"/>
  <c r="J61" i="1"/>
  <c r="I61" i="1"/>
  <c r="H61" i="1"/>
  <c r="K61" i="1"/>
  <c r="G61" i="1"/>
  <c r="F61" i="1"/>
  <c r="E61" i="1"/>
  <c r="D61" i="1"/>
  <c r="C61" i="1"/>
  <c r="J60" i="1"/>
  <c r="I60" i="1"/>
  <c r="H60" i="1"/>
  <c r="K60" i="1"/>
  <c r="G60" i="1"/>
  <c r="F60" i="1"/>
  <c r="E60" i="1"/>
  <c r="D60" i="1"/>
  <c r="C60" i="1"/>
  <c r="J47" i="1"/>
  <c r="I47" i="1"/>
  <c r="H47" i="1"/>
  <c r="K47" i="1"/>
  <c r="G47" i="1"/>
  <c r="F47" i="1"/>
  <c r="E47" i="1"/>
  <c r="D47" i="1"/>
  <c r="C47" i="1"/>
  <c r="J46" i="1"/>
  <c r="I46" i="1"/>
  <c r="H46" i="1"/>
  <c r="K46" i="1"/>
  <c r="G46" i="1"/>
  <c r="F46" i="1"/>
  <c r="E46" i="1"/>
  <c r="D46" i="1"/>
  <c r="C46" i="1"/>
  <c r="J45" i="1"/>
  <c r="I45" i="1"/>
  <c r="H45" i="1"/>
  <c r="K45" i="1"/>
  <c r="G45" i="1"/>
  <c r="F45" i="1"/>
  <c r="E45" i="1"/>
  <c r="D45" i="1"/>
  <c r="C45" i="1"/>
  <c r="J44" i="1"/>
  <c r="I44" i="1"/>
  <c r="H44" i="1"/>
  <c r="K44" i="1"/>
  <c r="G44" i="1"/>
  <c r="F44" i="1"/>
  <c r="E44" i="1"/>
  <c r="D44" i="1"/>
  <c r="C44" i="1"/>
  <c r="J43" i="1"/>
  <c r="I43" i="1"/>
  <c r="H43" i="1"/>
  <c r="K43" i="1"/>
  <c r="G43" i="1"/>
  <c r="F43" i="1"/>
  <c r="E43" i="1"/>
  <c r="D43" i="1"/>
  <c r="C43" i="1"/>
  <c r="J42" i="1"/>
  <c r="I42" i="1"/>
  <c r="H42" i="1"/>
  <c r="K42" i="1"/>
  <c r="G42" i="1"/>
  <c r="F42" i="1"/>
  <c r="E42" i="1"/>
  <c r="D42" i="1"/>
  <c r="C42" i="1"/>
  <c r="J38" i="1"/>
  <c r="I38" i="1"/>
  <c r="H38" i="1"/>
  <c r="K38" i="1"/>
  <c r="G38" i="1"/>
  <c r="F38" i="1"/>
  <c r="E38" i="1"/>
  <c r="D38" i="1"/>
  <c r="C38" i="1"/>
  <c r="J37" i="1"/>
  <c r="I37" i="1"/>
  <c r="H37" i="1"/>
  <c r="K37" i="1"/>
  <c r="G37" i="1"/>
  <c r="F37" i="1"/>
  <c r="E37" i="1"/>
  <c r="D37" i="1"/>
  <c r="C37" i="1"/>
  <c r="J36" i="1"/>
  <c r="I36" i="1"/>
  <c r="H36" i="1"/>
  <c r="K36" i="1"/>
  <c r="G36" i="1"/>
  <c r="F36" i="1"/>
  <c r="E36" i="1"/>
  <c r="D36" i="1"/>
  <c r="C36" i="1"/>
  <c r="J35" i="1"/>
  <c r="I35" i="1"/>
  <c r="H35" i="1"/>
  <c r="K35" i="1"/>
  <c r="G35" i="1"/>
  <c r="F35" i="1"/>
  <c r="E35" i="1"/>
  <c r="D35" i="1"/>
  <c r="C35" i="1"/>
  <c r="J34" i="1"/>
  <c r="I34" i="1"/>
  <c r="H34" i="1"/>
  <c r="K34" i="1"/>
  <c r="G34" i="1"/>
  <c r="F34" i="1"/>
  <c r="E34" i="1"/>
  <c r="D34" i="1"/>
  <c r="C34" i="1"/>
  <c r="J33" i="1"/>
  <c r="I33" i="1"/>
  <c r="H33" i="1"/>
  <c r="K33" i="1"/>
  <c r="G33" i="1"/>
  <c r="F33" i="1"/>
  <c r="E33" i="1"/>
  <c r="D33" i="1"/>
  <c r="C33" i="1"/>
  <c r="J29" i="1"/>
  <c r="I29" i="1"/>
  <c r="H29" i="1"/>
  <c r="K29" i="1"/>
  <c r="G29" i="1"/>
  <c r="F29" i="1"/>
  <c r="E29" i="1"/>
  <c r="D29" i="1"/>
  <c r="C29" i="1"/>
  <c r="J28" i="1"/>
  <c r="I28" i="1"/>
  <c r="H28" i="1"/>
  <c r="K28" i="1"/>
  <c r="G28" i="1"/>
  <c r="F28" i="1"/>
  <c r="E28" i="1"/>
  <c r="D28" i="1"/>
  <c r="C28" i="1"/>
  <c r="J27" i="1"/>
  <c r="I27" i="1"/>
  <c r="H27" i="1"/>
  <c r="K27" i="1"/>
  <c r="G27" i="1"/>
  <c r="F27" i="1"/>
  <c r="E27" i="1"/>
  <c r="D27" i="1"/>
  <c r="C27" i="1"/>
  <c r="J26" i="1"/>
  <c r="I26" i="1"/>
  <c r="H26" i="1"/>
  <c r="K26" i="1"/>
  <c r="G26" i="1"/>
  <c r="F26" i="1"/>
  <c r="E26" i="1"/>
  <c r="D26" i="1"/>
  <c r="C26" i="1"/>
  <c r="J25" i="1"/>
  <c r="I25" i="1"/>
  <c r="H25" i="1"/>
  <c r="K25" i="1"/>
  <c r="G25" i="1"/>
  <c r="F25" i="1"/>
  <c r="E25" i="1"/>
  <c r="D25" i="1"/>
  <c r="C25" i="1"/>
  <c r="J24" i="1"/>
  <c r="I24" i="1"/>
  <c r="H24" i="1"/>
  <c r="K24" i="1"/>
  <c r="G24" i="1"/>
  <c r="F24" i="1"/>
  <c r="E24" i="1"/>
  <c r="D24" i="1"/>
  <c r="C24" i="1"/>
  <c r="D58" i="1"/>
  <c r="E57" i="6"/>
  <c r="D40" i="1"/>
  <c r="E3" i="6"/>
  <c r="D31" i="1"/>
  <c r="E3" i="5"/>
  <c r="D22" i="1"/>
  <c r="F3" i="4"/>
  <c r="D67" i="1"/>
  <c r="E102" i="6"/>
  <c r="H193" i="3"/>
  <c r="H192" i="3"/>
  <c r="H191" i="3"/>
  <c r="H190" i="3"/>
  <c r="H189" i="3"/>
  <c r="H188" i="3"/>
  <c r="H187" i="3"/>
  <c r="H186" i="3"/>
  <c r="H185" i="3"/>
  <c r="H184" i="3"/>
  <c r="H183" i="3"/>
  <c r="H182" i="3"/>
  <c r="H181" i="3"/>
  <c r="H180" i="3"/>
  <c r="H179" i="3"/>
  <c r="H178" i="3"/>
  <c r="I193" i="3"/>
  <c r="J192" i="3"/>
  <c r="I192" i="3"/>
  <c r="J191" i="3"/>
  <c r="I191" i="3"/>
  <c r="J190" i="3"/>
  <c r="I190" i="3"/>
  <c r="J189" i="3"/>
  <c r="I189" i="3"/>
  <c r="J188" i="3"/>
  <c r="I188" i="3"/>
  <c r="J187" i="3"/>
  <c r="I187" i="3"/>
  <c r="J186" i="3"/>
  <c r="I186" i="3"/>
  <c r="J185" i="3"/>
  <c r="I185" i="3"/>
  <c r="J184" i="3"/>
  <c r="I184" i="3"/>
  <c r="J183" i="3"/>
  <c r="I183" i="3"/>
  <c r="J182" i="3"/>
  <c r="I182" i="3"/>
  <c r="J181" i="3"/>
  <c r="I181" i="3"/>
  <c r="J179" i="3"/>
  <c r="I179" i="3"/>
  <c r="J180" i="3"/>
  <c r="I180" i="3"/>
  <c r="J178" i="3"/>
  <c r="I178" i="3"/>
  <c r="E195" i="3"/>
  <c r="D195" i="3"/>
  <c r="E10" i="4"/>
  <c r="H10" i="4"/>
  <c r="J79" i="9"/>
  <c r="F24" i="7"/>
  <c r="H79" i="9"/>
  <c r="D24" i="7"/>
  <c r="C90" i="6"/>
  <c r="C91" i="6"/>
  <c r="C115" i="6"/>
  <c r="E90" i="6"/>
  <c r="E91" i="6"/>
  <c r="E115" i="6"/>
  <c r="D196" i="3"/>
  <c r="B198" i="3"/>
  <c r="E196" i="3"/>
  <c r="B199" i="3"/>
  <c r="F23" i="7"/>
  <c r="D23" i="7"/>
  <c r="H23" i="7"/>
  <c r="E116" i="6"/>
  <c r="J23" i="7"/>
  <c r="E44" i="6"/>
  <c r="J21" i="7"/>
  <c r="E52" i="6"/>
  <c r="F20" i="7"/>
  <c r="E45" i="6"/>
  <c r="E46" i="6"/>
  <c r="F19" i="7"/>
  <c r="D19" i="7"/>
  <c r="C44" i="6"/>
  <c r="H19" i="7"/>
  <c r="C52" i="6"/>
  <c r="E53" i="6"/>
  <c r="D20" i="7"/>
  <c r="C45" i="6"/>
  <c r="C46" i="6"/>
  <c r="E47" i="6"/>
  <c r="E48" i="6"/>
  <c r="J19" i="7"/>
  <c r="B225" i="3"/>
  <c r="F9" i="6"/>
  <c r="D9" i="6"/>
  <c r="B229" i="3"/>
  <c r="B228" i="3"/>
  <c r="D10" i="6"/>
  <c r="B226" i="3"/>
  <c r="F10" i="6"/>
  <c r="F11" i="6"/>
  <c r="E17" i="6"/>
  <c r="D11" i="6"/>
  <c r="F9" i="5"/>
  <c r="D9" i="5"/>
  <c r="F17" i="7"/>
  <c r="E18" i="6"/>
  <c r="E19" i="6"/>
  <c r="E25" i="6"/>
  <c r="F18" i="7"/>
  <c r="D17" i="7"/>
  <c r="H17" i="7"/>
  <c r="C17" i="6"/>
  <c r="C18" i="6"/>
  <c r="C19" i="6"/>
  <c r="D10" i="5"/>
  <c r="F10" i="5"/>
  <c r="F14" i="5"/>
  <c r="F15" i="5"/>
  <c r="E21" i="5"/>
  <c r="C25" i="6"/>
  <c r="E26" i="6"/>
  <c r="D18" i="7"/>
  <c r="J17" i="7"/>
  <c r="E20" i="6"/>
  <c r="E21" i="6"/>
  <c r="D14" i="5"/>
  <c r="F15" i="7"/>
  <c r="E22" i="5"/>
  <c r="E23" i="5"/>
  <c r="H54" i="9"/>
  <c r="H55" i="9"/>
  <c r="D15" i="5"/>
  <c r="H13" i="4"/>
  <c r="H14" i="4"/>
  <c r="H15" i="4"/>
  <c r="H16" i="4"/>
  <c r="E13" i="4"/>
  <c r="E14" i="4"/>
  <c r="E15" i="4"/>
  <c r="E16" i="4"/>
  <c r="B76" i="3"/>
  <c r="I15" i="2"/>
  <c r="I16" i="2"/>
  <c r="I17" i="2"/>
  <c r="I18" i="2"/>
  <c r="I19" i="2"/>
  <c r="A15" i="3"/>
  <c r="A14" i="3"/>
  <c r="A16" i="3"/>
  <c r="N54" i="9"/>
  <c r="I54" i="9"/>
  <c r="H56" i="9"/>
  <c r="I55" i="9"/>
  <c r="D15" i="7"/>
  <c r="H15" i="7"/>
  <c r="C21" i="5"/>
  <c r="C22" i="5"/>
  <c r="C23" i="5"/>
  <c r="F22" i="4"/>
  <c r="C16" i="3"/>
  <c r="C15" i="3"/>
  <c r="C14" i="3"/>
  <c r="C13" i="3"/>
  <c r="F30" i="4"/>
  <c r="F14" i="7"/>
  <c r="J15" i="7"/>
  <c r="I56" i="9"/>
  <c r="H57" i="9"/>
  <c r="E24" i="5"/>
  <c r="E25" i="5"/>
  <c r="D54" i="9"/>
  <c r="M54" i="9"/>
  <c r="O54" i="9"/>
  <c r="F23" i="4"/>
  <c r="F24" i="4"/>
  <c r="F13" i="7"/>
  <c r="G54" i="9"/>
  <c r="H58" i="9"/>
  <c r="I57" i="9"/>
  <c r="D55" i="9"/>
  <c r="A13" i="3"/>
  <c r="H59" i="9"/>
  <c r="I58" i="9"/>
  <c r="G55" i="9"/>
  <c r="D56" i="9"/>
  <c r="P36" i="9"/>
  <c r="P37" i="9"/>
  <c r="P39" i="9"/>
  <c r="P40" i="9"/>
  <c r="E49" i="9"/>
  <c r="I11" i="1"/>
  <c r="H11" i="1"/>
  <c r="G11" i="1"/>
  <c r="F11" i="1"/>
  <c r="E11" i="1"/>
  <c r="D11" i="1"/>
  <c r="C11" i="1"/>
  <c r="H60" i="9"/>
  <c r="I59" i="9"/>
  <c r="G56" i="9"/>
  <c r="D57" i="9"/>
  <c r="F15" i="2"/>
  <c r="F16" i="2"/>
  <c r="F17" i="2"/>
  <c r="F18" i="2"/>
  <c r="F19" i="2"/>
  <c r="G26" i="2"/>
  <c r="H61" i="9"/>
  <c r="I60" i="9"/>
  <c r="D58" i="9"/>
  <c r="G57" i="9"/>
  <c r="P16" i="9"/>
  <c r="P17" i="9"/>
  <c r="P19" i="9"/>
  <c r="P20" i="9"/>
  <c r="E29" i="9"/>
  <c r="H29" i="9"/>
  <c r="F25" i="4"/>
  <c r="C22" i="4"/>
  <c r="D13" i="7"/>
  <c r="G65" i="9"/>
  <c r="F26" i="4"/>
  <c r="F11" i="7"/>
  <c r="F25" i="7"/>
  <c r="G25" i="2"/>
  <c r="G27" i="2"/>
  <c r="D14" i="7"/>
  <c r="C23" i="4"/>
  <c r="C24" i="4"/>
  <c r="I61" i="9"/>
  <c r="N61" i="9"/>
  <c r="F16" i="7"/>
  <c r="J13" i="7"/>
  <c r="H13" i="7"/>
  <c r="H62" i="9"/>
  <c r="D59" i="9"/>
  <c r="G58" i="9"/>
  <c r="C30" i="4"/>
  <c r="F31" i="4"/>
  <c r="E50" i="9"/>
  <c r="H50" i="9"/>
  <c r="H49" i="9"/>
  <c r="F39" i="7"/>
  <c r="F44" i="7"/>
  <c r="H44" i="7"/>
  <c r="F33" i="7"/>
  <c r="H33" i="7"/>
  <c r="E33" i="9"/>
  <c r="E34" i="9"/>
  <c r="H34" i="9"/>
  <c r="H63" i="9"/>
  <c r="I62" i="9"/>
  <c r="I65" i="9"/>
  <c r="D60" i="9"/>
  <c r="G59" i="9"/>
  <c r="E35" i="9"/>
  <c r="E36" i="9"/>
  <c r="E37" i="9"/>
  <c r="J34" i="9"/>
  <c r="J35" i="9"/>
  <c r="J36" i="9"/>
  <c r="J37" i="9"/>
  <c r="H64" i="9"/>
  <c r="I64" i="9"/>
  <c r="I63" i="9"/>
  <c r="D61" i="9"/>
  <c r="M61" i="9"/>
  <c r="D16" i="7"/>
  <c r="G60" i="9"/>
  <c r="H35" i="9"/>
  <c r="K34" i="9"/>
  <c r="M14" i="9"/>
  <c r="H36" i="9"/>
  <c r="K36" i="9"/>
  <c r="M16" i="9"/>
  <c r="S36" i="9"/>
  <c r="S34" i="9"/>
  <c r="S35" i="9"/>
  <c r="T33" i="9"/>
  <c r="G61" i="9"/>
  <c r="K35" i="9"/>
  <c r="M15" i="9"/>
  <c r="E29" i="5"/>
  <c r="J38" i="9"/>
  <c r="S37" i="9"/>
  <c r="D62" i="9"/>
  <c r="H37" i="9"/>
  <c r="K37" i="9"/>
  <c r="M17" i="9"/>
  <c r="E38" i="9"/>
  <c r="G33" i="2"/>
  <c r="P27" i="7"/>
  <c r="J39" i="9"/>
  <c r="J40" i="9"/>
  <c r="S38" i="9"/>
  <c r="D63" i="9"/>
  <c r="G62" i="9"/>
  <c r="H38" i="9"/>
  <c r="K38" i="9"/>
  <c r="M18" i="9"/>
  <c r="E39" i="9"/>
  <c r="H39" i="9"/>
  <c r="S39" i="9"/>
  <c r="J41" i="9"/>
  <c r="S40" i="9"/>
  <c r="D64" i="9"/>
  <c r="G64" i="9"/>
  <c r="G63" i="9"/>
  <c r="K39" i="9"/>
  <c r="M19" i="9"/>
  <c r="E40" i="9"/>
  <c r="C29" i="5"/>
  <c r="E30" i="5"/>
  <c r="J42" i="9"/>
  <c r="S41" i="9"/>
  <c r="E41" i="9"/>
  <c r="H40" i="9"/>
  <c r="K40" i="9"/>
  <c r="M20" i="9"/>
  <c r="J43" i="9"/>
  <c r="S42" i="9"/>
  <c r="E42" i="9"/>
  <c r="H41" i="9"/>
  <c r="K41" i="9"/>
  <c r="M21" i="9"/>
  <c r="J44" i="9"/>
  <c r="J45" i="9"/>
  <c r="J46" i="9"/>
  <c r="J47" i="9"/>
  <c r="J48" i="9"/>
  <c r="J49" i="9"/>
  <c r="S43" i="9"/>
  <c r="E43" i="9"/>
  <c r="H42" i="9"/>
  <c r="K42" i="9"/>
  <c r="M22" i="9"/>
  <c r="J50" i="9"/>
  <c r="S49" i="9"/>
  <c r="K49" i="9"/>
  <c r="M29" i="9"/>
  <c r="H43" i="9"/>
  <c r="K43" i="9"/>
  <c r="M23" i="9"/>
  <c r="E44" i="9"/>
  <c r="H44" i="9"/>
  <c r="S44" i="9"/>
  <c r="K50" i="9"/>
  <c r="M30" i="9"/>
  <c r="S50" i="9"/>
  <c r="K44" i="9"/>
  <c r="M24" i="9"/>
  <c r="E45" i="9"/>
  <c r="H45" i="9"/>
  <c r="S45" i="9"/>
  <c r="F12" i="7"/>
  <c r="F26" i="7"/>
  <c r="E46" i="9"/>
  <c r="K45" i="9"/>
  <c r="M25" i="9"/>
  <c r="D323" i="3"/>
  <c r="E323" i="3"/>
  <c r="F323" i="3"/>
  <c r="B328" i="3"/>
  <c r="C328" i="3"/>
  <c r="F34" i="7"/>
  <c r="H34" i="7"/>
  <c r="F40" i="7"/>
  <c r="H46" i="9"/>
  <c r="K46" i="9"/>
  <c r="M26" i="9"/>
  <c r="S46" i="9"/>
  <c r="E47" i="9"/>
  <c r="F45" i="7"/>
  <c r="H45" i="7"/>
  <c r="G323" i="3"/>
  <c r="D328" i="3"/>
  <c r="E328" i="3"/>
  <c r="F328" i="3"/>
  <c r="S47" i="9"/>
  <c r="H47" i="9"/>
  <c r="K47" i="9"/>
  <c r="M27" i="9"/>
  <c r="F27" i="7"/>
  <c r="E48" i="9"/>
  <c r="G328" i="3"/>
  <c r="D333" i="3"/>
  <c r="E333" i="3"/>
  <c r="H48" i="9"/>
  <c r="K48" i="9"/>
  <c r="M28" i="9"/>
  <c r="S48" i="9"/>
  <c r="H328" i="3"/>
  <c r="B337" i="3"/>
  <c r="C337" i="3"/>
  <c r="Q49" i="7"/>
  <c r="F49" i="7"/>
  <c r="E30" i="9"/>
  <c r="H30" i="9"/>
  <c r="G28" i="2"/>
  <c r="D26" i="2"/>
  <c r="D11" i="7"/>
  <c r="H11" i="7"/>
  <c r="D25" i="2"/>
  <c r="D27" i="2"/>
  <c r="E13" i="9"/>
  <c r="E14" i="9"/>
  <c r="H14" i="9"/>
  <c r="H15" i="9"/>
  <c r="G29" i="2"/>
  <c r="J11" i="7"/>
  <c r="D25" i="7"/>
  <c r="D39" i="7"/>
  <c r="D44" i="7"/>
  <c r="H39" i="7"/>
  <c r="E15" i="9"/>
  <c r="E16" i="9"/>
  <c r="H16" i="9"/>
  <c r="J14" i="9"/>
  <c r="J15" i="9"/>
  <c r="J16" i="9"/>
  <c r="S16" i="9"/>
  <c r="J25" i="7"/>
  <c r="H25" i="7"/>
  <c r="D33" i="7"/>
  <c r="S15" i="9"/>
  <c r="J17" i="9"/>
  <c r="S17" i="9"/>
  <c r="E17" i="9"/>
  <c r="H17" i="9"/>
  <c r="K15" i="9"/>
  <c r="K16" i="9"/>
  <c r="K14" i="9"/>
  <c r="D33" i="2"/>
  <c r="S14" i="9"/>
  <c r="T13" i="9"/>
  <c r="K17" i="9"/>
  <c r="J18" i="9"/>
  <c r="S18" i="9"/>
  <c r="E18" i="9"/>
  <c r="E19" i="9"/>
  <c r="J19" i="9"/>
  <c r="J20" i="9"/>
  <c r="J21" i="9"/>
  <c r="H18" i="9"/>
  <c r="K18" i="9"/>
  <c r="E20" i="9"/>
  <c r="H19" i="9"/>
  <c r="S20" i="9"/>
  <c r="S19" i="9"/>
  <c r="K19" i="9"/>
  <c r="H20" i="9"/>
  <c r="K20" i="9"/>
  <c r="E21" i="9"/>
  <c r="J22" i="9"/>
  <c r="S21" i="9"/>
  <c r="H21" i="9"/>
  <c r="K21" i="9"/>
  <c r="E22" i="9"/>
  <c r="S22" i="9"/>
  <c r="J23" i="9"/>
  <c r="S23" i="9"/>
  <c r="J24" i="9"/>
  <c r="J25" i="9"/>
  <c r="J26" i="9"/>
  <c r="J27" i="9"/>
  <c r="J28" i="9"/>
  <c r="J29" i="9"/>
  <c r="H22" i="9"/>
  <c r="K22" i="9"/>
  <c r="E23" i="9"/>
  <c r="E24" i="9"/>
  <c r="H23" i="9"/>
  <c r="K23" i="9"/>
  <c r="K29" i="9"/>
  <c r="S29" i="9"/>
  <c r="J30" i="9"/>
  <c r="S30" i="9"/>
  <c r="D12" i="7"/>
  <c r="K30" i="9"/>
  <c r="H24" i="9"/>
  <c r="E25" i="9"/>
  <c r="D26" i="7"/>
  <c r="D34" i="7"/>
  <c r="N27" i="7"/>
  <c r="D27" i="7"/>
  <c r="J27" i="7"/>
  <c r="G34" i="2"/>
  <c r="E26" i="9"/>
  <c r="H25" i="9"/>
  <c r="K24" i="9"/>
  <c r="S24" i="9"/>
  <c r="D40" i="7"/>
  <c r="D45" i="7"/>
  <c r="D322" i="3"/>
  <c r="E322" i="3"/>
  <c r="F322" i="3"/>
  <c r="B327" i="3"/>
  <c r="C327" i="3"/>
  <c r="H26" i="7"/>
  <c r="J26" i="7"/>
  <c r="H27" i="7"/>
  <c r="G327" i="3"/>
  <c r="D332" i="3"/>
  <c r="E332" i="3"/>
  <c r="S25" i="9"/>
  <c r="K25" i="9"/>
  <c r="S26" i="9"/>
  <c r="H26" i="9"/>
  <c r="K26" i="9"/>
  <c r="E27" i="9"/>
  <c r="H40" i="7"/>
  <c r="G322" i="3"/>
  <c r="D327" i="3"/>
  <c r="E327" i="3"/>
  <c r="F327" i="3"/>
  <c r="H327" i="3"/>
  <c r="B336" i="3"/>
  <c r="M49" i="7"/>
  <c r="D49" i="7"/>
  <c r="H49" i="7"/>
  <c r="S27" i="9"/>
  <c r="E28" i="9"/>
  <c r="H27" i="9"/>
  <c r="K27" i="9"/>
  <c r="C336" i="3"/>
  <c r="H28" i="9"/>
  <c r="K28" i="9"/>
  <c r="S28" i="9"/>
</calcChain>
</file>

<file path=xl/sharedStrings.xml><?xml version="1.0" encoding="utf-8"?>
<sst xmlns="http://schemas.openxmlformats.org/spreadsheetml/2006/main" count="1423" uniqueCount="560">
  <si>
    <t>1,2</t>
  </si>
  <si>
    <t>地域</t>
    <rPh sb="0" eb="2">
      <t>チイキ</t>
    </rPh>
    <phoneticPr fontId="1"/>
  </si>
  <si>
    <t>暖房</t>
    <rPh sb="0" eb="2">
      <t>ダンボウ</t>
    </rPh>
    <phoneticPr fontId="1"/>
  </si>
  <si>
    <t>冷房</t>
    <rPh sb="0" eb="2">
      <t>レイボウ</t>
    </rPh>
    <phoneticPr fontId="1"/>
  </si>
  <si>
    <t>給湯</t>
    <rPh sb="0" eb="2">
      <t>キュウトウ</t>
    </rPh>
    <phoneticPr fontId="1"/>
  </si>
  <si>
    <t>照明</t>
    <rPh sb="0" eb="2">
      <t>ショウメイ</t>
    </rPh>
    <phoneticPr fontId="1"/>
  </si>
  <si>
    <t>換気</t>
    <rPh sb="0" eb="2">
      <t>カンキ</t>
    </rPh>
    <phoneticPr fontId="1"/>
  </si>
  <si>
    <t>家電</t>
    <rPh sb="0" eb="2">
      <t>カデン</t>
    </rPh>
    <phoneticPr fontId="1"/>
  </si>
  <si>
    <t>調理</t>
    <rPh sb="0" eb="2">
      <t>チョウリ</t>
    </rPh>
    <phoneticPr fontId="1"/>
  </si>
  <si>
    <t>単位:GJ/年</t>
    <rPh sb="0" eb="2">
      <t>タンイ</t>
    </rPh>
    <rPh sb="6" eb="7">
      <t>ネン</t>
    </rPh>
    <phoneticPr fontId="1"/>
  </si>
  <si>
    <t>合計</t>
    <rPh sb="0" eb="2">
      <t>ゴウケイ</t>
    </rPh>
    <phoneticPr fontId="1"/>
  </si>
  <si>
    <t>Q値</t>
    <rPh sb="1" eb="2">
      <t>チ</t>
    </rPh>
    <phoneticPr fontId="1"/>
  </si>
  <si>
    <t>係数</t>
    <rPh sb="0" eb="2">
      <t>ケイスウ</t>
    </rPh>
    <phoneticPr fontId="1"/>
  </si>
  <si>
    <t>基準値</t>
    <rPh sb="0" eb="3">
      <t>キジュンチ</t>
    </rPh>
    <phoneticPr fontId="1"/>
  </si>
  <si>
    <t>地域別用途別基準値（4人家族）</t>
    <rPh sb="0" eb="2">
      <t>チイキ</t>
    </rPh>
    <rPh sb="2" eb="3">
      <t>ベツ</t>
    </rPh>
    <rPh sb="3" eb="5">
      <t>ヨウト</t>
    </rPh>
    <rPh sb="5" eb="6">
      <t>ベツ</t>
    </rPh>
    <rPh sb="6" eb="9">
      <t>キジュンチ</t>
    </rPh>
    <rPh sb="11" eb="12">
      <t>ニン</t>
    </rPh>
    <rPh sb="12" eb="14">
      <t>カゾク</t>
    </rPh>
    <phoneticPr fontId="1"/>
  </si>
  <si>
    <t>1次エネ</t>
    <rPh sb="1" eb="2">
      <t>ジ</t>
    </rPh>
    <phoneticPr fontId="1"/>
  </si>
  <si>
    <t>地域区分</t>
    <rPh sb="0" eb="2">
      <t>チイキ</t>
    </rPh>
    <rPh sb="2" eb="4">
      <t>クブン</t>
    </rPh>
    <phoneticPr fontId="1"/>
  </si>
  <si>
    <t>GJ/年</t>
    <rPh sb="3" eb="4">
      <t>ネン</t>
    </rPh>
    <phoneticPr fontId="1"/>
  </si>
  <si>
    <t>電気床暖房</t>
  </si>
  <si>
    <t>温水床暖房（HP）</t>
  </si>
  <si>
    <t>エアコン＋電気カーペット/オイルヒーター</t>
  </si>
  <si>
    <t>エアコン＋こたつ</t>
  </si>
  <si>
    <t>エアコン＋薪ストーブ（週末のみ）</t>
  </si>
  <si>
    <t>薪ストーブ（全日、主居室のみ）</t>
  </si>
  <si>
    <t>ペレットストーブ</t>
  </si>
  <si>
    <t>基準値</t>
    <rPh sb="0" eb="3">
      <t>キジュンチ</t>
    </rPh>
    <phoneticPr fontId="1"/>
  </si>
  <si>
    <t>雨戸/シャッター</t>
    <phoneticPr fontId="1"/>
  </si>
  <si>
    <t>なし</t>
  </si>
  <si>
    <t>評価あり</t>
    <rPh sb="0" eb="2">
      <t>ヒョウカ</t>
    </rPh>
    <phoneticPr fontId="1"/>
  </si>
  <si>
    <t>暖房設備</t>
    <rPh sb="0" eb="2">
      <t>ダンボウ</t>
    </rPh>
    <rPh sb="2" eb="4">
      <t>セツビ</t>
    </rPh>
    <phoneticPr fontId="1"/>
  </si>
  <si>
    <t>日射取得</t>
    <rPh sb="0" eb="2">
      <t>ニッシャ</t>
    </rPh>
    <rPh sb="2" eb="4">
      <t>シュトク</t>
    </rPh>
    <phoneticPr fontId="1"/>
  </si>
  <si>
    <t>窓の付属部材</t>
    <rPh sb="0" eb="1">
      <t>マド</t>
    </rPh>
    <rPh sb="2" eb="4">
      <t>フゾク</t>
    </rPh>
    <rPh sb="4" eb="6">
      <t>ブザイ</t>
    </rPh>
    <phoneticPr fontId="1"/>
  </si>
  <si>
    <t>before</t>
    <phoneticPr fontId="1"/>
  </si>
  <si>
    <t>after</t>
    <phoneticPr fontId="1"/>
  </si>
  <si>
    <t>暖房</t>
    <rPh sb="0" eb="2">
      <t>ダンボウ</t>
    </rPh>
    <phoneticPr fontId="1"/>
  </si>
  <si>
    <t>冷房</t>
    <rPh sb="0" eb="2">
      <t>レイボウ</t>
    </rPh>
    <phoneticPr fontId="1"/>
  </si>
  <si>
    <t>あり</t>
  </si>
  <si>
    <t>風通し</t>
    <rPh sb="0" eb="2">
      <t>カゼトオ</t>
    </rPh>
    <phoneticPr fontId="1"/>
  </si>
  <si>
    <t>給湯器</t>
    <rPh sb="0" eb="3">
      <t>キュウトウキ</t>
    </rPh>
    <phoneticPr fontId="1"/>
  </si>
  <si>
    <t>電気温水器</t>
    <phoneticPr fontId="1"/>
  </si>
  <si>
    <t>エコキュート</t>
    <phoneticPr fontId="1"/>
  </si>
  <si>
    <t>台所手元止水</t>
    <phoneticPr fontId="1"/>
  </si>
  <si>
    <t>台所水優先</t>
    <phoneticPr fontId="1"/>
  </si>
  <si>
    <t>シャワー手元止水</t>
    <phoneticPr fontId="1"/>
  </si>
  <si>
    <t>洗面水優先</t>
    <phoneticPr fontId="1"/>
  </si>
  <si>
    <t>なし</t>
    <phoneticPr fontId="1"/>
  </si>
  <si>
    <t>浴槽</t>
    <rPh sb="0" eb="2">
      <t>ヨクソウ</t>
    </rPh>
    <phoneticPr fontId="1"/>
  </si>
  <si>
    <t>高断熱</t>
    <rPh sb="0" eb="3">
      <t>コウダンネツ</t>
    </rPh>
    <phoneticPr fontId="1"/>
  </si>
  <si>
    <t>連続入浴</t>
    <rPh sb="0" eb="2">
      <t>レンゾク</t>
    </rPh>
    <rPh sb="2" eb="4">
      <t>ニュウヨク</t>
    </rPh>
    <phoneticPr fontId="1"/>
  </si>
  <si>
    <t>あり</t>
    <phoneticPr fontId="1"/>
  </si>
  <si>
    <t>ランプ</t>
    <phoneticPr fontId="1"/>
  </si>
  <si>
    <t>省エネ蛍光灯/LED</t>
    <rPh sb="0" eb="1">
      <t>ショウ</t>
    </rPh>
    <rPh sb="3" eb="6">
      <t>ケイコウトウ</t>
    </rPh>
    <phoneticPr fontId="1"/>
  </si>
  <si>
    <t>調光</t>
    <rPh sb="0" eb="2">
      <t>チョウコウ</t>
    </rPh>
    <phoneticPr fontId="1"/>
  </si>
  <si>
    <t>タイマー＋人感センサー</t>
    <rPh sb="5" eb="7">
      <t>ジンカン</t>
    </rPh>
    <phoneticPr fontId="1"/>
  </si>
  <si>
    <t>小まめなon-off</t>
    <phoneticPr fontId="1"/>
  </si>
  <si>
    <t>調光＋タイマー＋人感センサー</t>
    <rPh sb="0" eb="2">
      <t>チョウコウ</t>
    </rPh>
    <rPh sb="8" eb="10">
      <t>ジンカン</t>
    </rPh>
    <phoneticPr fontId="1"/>
  </si>
  <si>
    <t>無駄を省く</t>
    <rPh sb="0" eb="2">
      <t>ムダ</t>
    </rPh>
    <rPh sb="3" eb="4">
      <t>ハブ</t>
    </rPh>
    <phoneticPr fontId="1"/>
  </si>
  <si>
    <t>昼間に照明を点けない</t>
    <rPh sb="0" eb="2">
      <t>ヒルマ</t>
    </rPh>
    <rPh sb="3" eb="5">
      <t>ショウメイ</t>
    </rPh>
    <rPh sb="6" eb="7">
      <t>ツ</t>
    </rPh>
    <phoneticPr fontId="1"/>
  </si>
  <si>
    <t>可能でほぼ実行</t>
    <rPh sb="0" eb="2">
      <t>カノウ</t>
    </rPh>
    <rPh sb="5" eb="7">
      <t>ジッコウ</t>
    </rPh>
    <phoneticPr fontId="1"/>
  </si>
  <si>
    <t>一般24時間換気扇</t>
    <rPh sb="0" eb="2">
      <t>イッパン</t>
    </rPh>
    <rPh sb="4" eb="6">
      <t>ジカン</t>
    </rPh>
    <rPh sb="6" eb="9">
      <t>カンキセン</t>
    </rPh>
    <phoneticPr fontId="1"/>
  </si>
  <si>
    <t>省エネ24時間換気扇</t>
    <rPh sb="0" eb="1">
      <t>ショウ</t>
    </rPh>
    <rPh sb="5" eb="7">
      <t>ジカン</t>
    </rPh>
    <rPh sb="7" eb="10">
      <t>カンキセン</t>
    </rPh>
    <phoneticPr fontId="1"/>
  </si>
  <si>
    <t>テレビ</t>
    <phoneticPr fontId="1"/>
  </si>
  <si>
    <t>冷蔵庫</t>
    <rPh sb="0" eb="3">
      <t>レイゾウコ</t>
    </rPh>
    <phoneticPr fontId="1"/>
  </si>
  <si>
    <t>2011年以降省エネ型</t>
    <rPh sb="5" eb="7">
      <t>イコウ</t>
    </rPh>
    <rPh sb="7" eb="8">
      <t>ショウ</t>
    </rPh>
    <rPh sb="10" eb="11">
      <t>ガタ</t>
    </rPh>
    <phoneticPr fontId="1"/>
  </si>
  <si>
    <t>1995～2000年の製品</t>
    <rPh sb="11" eb="13">
      <t>セイヒン</t>
    </rPh>
    <phoneticPr fontId="1"/>
  </si>
  <si>
    <t>貯湯・常時便座保温</t>
    <phoneticPr fontId="1"/>
  </si>
  <si>
    <t>瞬間湯沸し・瞬間昇温</t>
    <phoneticPr fontId="1"/>
  </si>
  <si>
    <t>貯湯・常時便座保温</t>
  </si>
  <si>
    <t>便座</t>
    <rPh sb="0" eb="2">
      <t>ベンザ</t>
    </rPh>
    <phoneticPr fontId="1"/>
  </si>
  <si>
    <t>※評価方法が確定せず、評価する工夫はなし</t>
    <rPh sb="1" eb="3">
      <t>ヒョウカ</t>
    </rPh>
    <rPh sb="3" eb="5">
      <t>ホウホウ</t>
    </rPh>
    <rPh sb="6" eb="8">
      <t>カクテイ</t>
    </rPh>
    <rPh sb="11" eb="13">
      <t>ヒョウカ</t>
    </rPh>
    <rPh sb="15" eb="17">
      <t>クフウ</t>
    </rPh>
    <phoneticPr fontId="1"/>
  </si>
  <si>
    <t>なし</t>
    <phoneticPr fontId="1"/>
  </si>
  <si>
    <t>なし</t>
    <phoneticPr fontId="1"/>
  </si>
  <si>
    <t>なし</t>
    <phoneticPr fontId="1"/>
  </si>
  <si>
    <t>なし</t>
    <phoneticPr fontId="1"/>
  </si>
  <si>
    <t>台所手元止水</t>
    <rPh sb="0" eb="2">
      <t>ダイドコロ</t>
    </rPh>
    <rPh sb="2" eb="4">
      <t>テモト</t>
    </rPh>
    <rPh sb="4" eb="6">
      <t>シスイ</t>
    </rPh>
    <phoneticPr fontId="1"/>
  </si>
  <si>
    <t>台所水優先</t>
    <rPh sb="0" eb="2">
      <t>ダイドコロ</t>
    </rPh>
    <rPh sb="2" eb="3">
      <t>ミズ</t>
    </rPh>
    <rPh sb="3" eb="5">
      <t>ユウセン</t>
    </rPh>
    <phoneticPr fontId="1"/>
  </si>
  <si>
    <t>浴室シャワー手元止水</t>
    <rPh sb="0" eb="2">
      <t>ヨクシツ</t>
    </rPh>
    <rPh sb="6" eb="8">
      <t>テモト</t>
    </rPh>
    <rPh sb="8" eb="10">
      <t>シスイ</t>
    </rPh>
    <phoneticPr fontId="1"/>
  </si>
  <si>
    <t>洗面水優先</t>
    <rPh sb="0" eb="2">
      <t>センメン</t>
    </rPh>
    <rPh sb="2" eb="3">
      <t>ミズ</t>
    </rPh>
    <rPh sb="3" eb="5">
      <t>ユウセン</t>
    </rPh>
    <phoneticPr fontId="1"/>
  </si>
  <si>
    <t>あり</t>
    <phoneticPr fontId="1"/>
  </si>
  <si>
    <t>あり</t>
    <phoneticPr fontId="1"/>
  </si>
  <si>
    <t>before</t>
    <phoneticPr fontId="1"/>
  </si>
  <si>
    <t>after</t>
    <phoneticPr fontId="1"/>
  </si>
  <si>
    <t>GJ</t>
    <phoneticPr fontId="1"/>
  </si>
  <si>
    <t>％</t>
    <phoneticPr fontId="1"/>
  </si>
  <si>
    <t>暖房</t>
    <rPh sb="0" eb="2">
      <t>ダンボウ</t>
    </rPh>
    <phoneticPr fontId="1"/>
  </si>
  <si>
    <t>S55基準レベル（平均既存住宅）</t>
    <rPh sb="3" eb="5">
      <t>キジュン</t>
    </rPh>
    <rPh sb="9" eb="11">
      <t>ヘイキン</t>
    </rPh>
    <rPh sb="11" eb="15">
      <t>キゾンンジュウタク</t>
    </rPh>
    <phoneticPr fontId="1"/>
  </si>
  <si>
    <t>H4年基準レベル</t>
    <rPh sb="2" eb="3">
      <t>ネン</t>
    </rPh>
    <rPh sb="3" eb="5">
      <t>キジュン</t>
    </rPh>
    <phoneticPr fontId="1"/>
  </si>
  <si>
    <t>H11年（H28年）基準レベル</t>
    <rPh sb="3" eb="4">
      <t>ネン</t>
    </rPh>
    <rPh sb="8" eb="9">
      <t>ネン</t>
    </rPh>
    <rPh sb="10" eb="12">
      <t>キジュン</t>
    </rPh>
    <phoneticPr fontId="1"/>
  </si>
  <si>
    <t>H11年（H28年）基準レベルの1.5倍程度</t>
    <rPh sb="3" eb="4">
      <t>ネン</t>
    </rPh>
    <rPh sb="8" eb="9">
      <t>ネン</t>
    </rPh>
    <rPh sb="10" eb="12">
      <t>キジュン</t>
    </rPh>
    <rPh sb="19" eb="20">
      <t>バイ</t>
    </rPh>
    <rPh sb="20" eb="22">
      <t>テイド</t>
    </rPh>
    <phoneticPr fontId="1"/>
  </si>
  <si>
    <t>建物全体の断熱レベル</t>
    <rPh sb="0" eb="2">
      <t>タテモノ</t>
    </rPh>
    <rPh sb="2" eb="4">
      <t>ゼンタイ</t>
    </rPh>
    <rPh sb="5" eb="7">
      <t>ダンネツ</t>
    </rPh>
    <phoneticPr fontId="1"/>
  </si>
  <si>
    <t>（例）6地域のQ値で計算する場合→2.7W/m2K÷1.5＝1.8W/m2K程度</t>
    <rPh sb="1" eb="2">
      <t>レイ</t>
    </rPh>
    <rPh sb="4" eb="6">
      <t>チイキ</t>
    </rPh>
    <rPh sb="7" eb="9">
      <t>q</t>
    </rPh>
    <rPh sb="10" eb="12">
      <t>ケイサン</t>
    </rPh>
    <rPh sb="14" eb="16">
      <t>バアイ</t>
    </rPh>
    <rPh sb="38" eb="40">
      <t>テイド</t>
    </rPh>
    <phoneticPr fontId="1"/>
  </si>
  <si>
    <t>カーテン（床まで垂らすorカーテンボックス）</t>
    <rPh sb="5" eb="6">
      <t>ユカ</t>
    </rPh>
    <rPh sb="8" eb="9">
      <t>タ</t>
    </rPh>
    <phoneticPr fontId="1"/>
  </si>
  <si>
    <t>カーテン（床まで垂らすandカーテンボックス）</t>
    <rPh sb="5" eb="6">
      <t>ユカ</t>
    </rPh>
    <rPh sb="8" eb="9">
      <t>タ</t>
    </rPh>
    <phoneticPr fontId="1"/>
  </si>
  <si>
    <t>障子</t>
    <phoneticPr fontId="1"/>
  </si>
  <si>
    <t>ハニカムスクリーン（シングル）</t>
    <phoneticPr fontId="1"/>
  </si>
  <si>
    <t>暖房エネルギーを減らす工夫の評価</t>
    <rPh sb="0" eb="2">
      <t>ダンボウ</t>
    </rPh>
    <rPh sb="8" eb="9">
      <t>ヘ</t>
    </rPh>
    <rPh sb="11" eb="13">
      <t>クフウ</t>
    </rPh>
    <rPh sb="14" eb="16">
      <t>ヒョウカ</t>
    </rPh>
    <phoneticPr fontId="1"/>
  </si>
  <si>
    <t>基本情報の入力</t>
    <rPh sb="0" eb="2">
      <t>キホン</t>
    </rPh>
    <rPh sb="2" eb="4">
      <t>ジョウホウ</t>
    </rPh>
    <rPh sb="5" eb="7">
      <t>ニュウリョク</t>
    </rPh>
    <phoneticPr fontId="1"/>
  </si>
  <si>
    <t>冷房エネルギーを減らす工夫の評価</t>
    <rPh sb="0" eb="2">
      <t>レイボウ</t>
    </rPh>
    <rPh sb="8" eb="9">
      <t>ヘ</t>
    </rPh>
    <rPh sb="11" eb="13">
      <t>クフウ</t>
    </rPh>
    <rPh sb="14" eb="16">
      <t>ヒョウカ</t>
    </rPh>
    <phoneticPr fontId="1"/>
  </si>
  <si>
    <t>beforeに対する削減率</t>
    <rPh sb="7" eb="8">
      <t>タイ</t>
    </rPh>
    <rPh sb="10" eb="13">
      <t>サクゲンリツ</t>
    </rPh>
    <phoneticPr fontId="1"/>
  </si>
  <si>
    <t>基準値に対する削減率</t>
    <rPh sb="0" eb="3">
      <t>キジュンチ</t>
    </rPh>
    <rPh sb="4" eb="5">
      <t>タイ</t>
    </rPh>
    <rPh sb="7" eb="9">
      <t>サクゲン</t>
    </rPh>
    <rPh sb="9" eb="10">
      <t>リツ</t>
    </rPh>
    <phoneticPr fontId="1"/>
  </si>
  <si>
    <t>基準値に対する削減量</t>
    <rPh sb="0" eb="3">
      <t>キジュンチ</t>
    </rPh>
    <rPh sb="4" eb="5">
      <t>タイ</t>
    </rPh>
    <rPh sb="7" eb="9">
      <t>サクゲン</t>
    </rPh>
    <rPh sb="9" eb="10">
      <t>リョウ</t>
    </rPh>
    <phoneticPr fontId="1"/>
  </si>
  <si>
    <t>beforeに対する削減量</t>
    <rPh sb="7" eb="8">
      <t>タイ</t>
    </rPh>
    <rPh sb="10" eb="12">
      <t>サクゲン</t>
    </rPh>
    <rPh sb="12" eb="13">
      <t>リョウ</t>
    </rPh>
    <phoneticPr fontId="1"/>
  </si>
  <si>
    <t>最終一次エネルギー消費量</t>
    <rPh sb="0" eb="2">
      <t>サイシュウ</t>
    </rPh>
    <rPh sb="2" eb="4">
      <t>イチジ</t>
    </rPh>
    <rPh sb="9" eb="12">
      <t>ショウヒリョウ</t>
    </rPh>
    <phoneticPr fontId="1"/>
  </si>
  <si>
    <t>照明エネルギーを減らす工夫の評価</t>
    <rPh sb="0" eb="2">
      <t>ショウメイ</t>
    </rPh>
    <rPh sb="8" eb="9">
      <t>ヘ</t>
    </rPh>
    <rPh sb="11" eb="13">
      <t>クフウ</t>
    </rPh>
    <rPh sb="14" eb="16">
      <t>ヒョウカ</t>
    </rPh>
    <phoneticPr fontId="1"/>
  </si>
  <si>
    <t>給湯エネルギーを減らす工夫の評価</t>
    <rPh sb="0" eb="2">
      <t>キュウトウ</t>
    </rPh>
    <rPh sb="8" eb="9">
      <t>ヘ</t>
    </rPh>
    <rPh sb="11" eb="13">
      <t>クフウ</t>
    </rPh>
    <rPh sb="14" eb="16">
      <t>ヒョウカ</t>
    </rPh>
    <phoneticPr fontId="1"/>
  </si>
  <si>
    <t>換気エネルギーを減らす工夫の評価</t>
    <rPh sb="0" eb="2">
      <t>カンキ</t>
    </rPh>
    <rPh sb="8" eb="9">
      <t>ヘ</t>
    </rPh>
    <rPh sb="11" eb="13">
      <t>クフウ</t>
    </rPh>
    <rPh sb="14" eb="16">
      <t>ヒョウカ</t>
    </rPh>
    <phoneticPr fontId="1"/>
  </si>
  <si>
    <t>入力の方法</t>
    <rPh sb="0" eb="2">
      <t>ニュウリョク</t>
    </rPh>
    <rPh sb="3" eb="5">
      <t>ホウホウ</t>
    </rPh>
    <phoneticPr fontId="1"/>
  </si>
  <si>
    <t>家電エネルギーを減らす工夫の評価</t>
    <rPh sb="0" eb="2">
      <t>カデン</t>
    </rPh>
    <rPh sb="8" eb="9">
      <t>ヘ</t>
    </rPh>
    <rPh sb="11" eb="13">
      <t>クフウ</t>
    </rPh>
    <rPh sb="14" eb="16">
      <t>ヒョウカ</t>
    </rPh>
    <phoneticPr fontId="1"/>
  </si>
  <si>
    <t>301～350</t>
    <phoneticPr fontId="1"/>
  </si>
  <si>
    <t>GJ</t>
    <phoneticPr fontId="1"/>
  </si>
  <si>
    <t>pana</t>
    <phoneticPr fontId="1"/>
  </si>
  <si>
    <t>451～500</t>
    <phoneticPr fontId="1"/>
  </si>
  <si>
    <t>シャープ</t>
    <phoneticPr fontId="1"/>
  </si>
  <si>
    <t>東芝</t>
    <rPh sb="0" eb="2">
      <t>トウシバ</t>
    </rPh>
    <phoneticPr fontId="1"/>
  </si>
  <si>
    <t>351～400</t>
    <phoneticPr fontId="1"/>
  </si>
  <si>
    <t>合計</t>
    <rPh sb="0" eb="2">
      <t>ゴウケイ</t>
    </rPh>
    <phoneticPr fontId="1"/>
  </si>
  <si>
    <t>平均</t>
    <rPh sb="0" eb="2">
      <t>ヘイキン</t>
    </rPh>
    <phoneticPr fontId="1"/>
  </si>
  <si>
    <t>before合計</t>
    <rPh sb="6" eb="8">
      <t>ゴウケイ</t>
    </rPh>
    <phoneticPr fontId="1"/>
  </si>
  <si>
    <t>家電基準</t>
    <rPh sb="0" eb="2">
      <t>カデン</t>
    </rPh>
    <rPh sb="2" eb="4">
      <t>キジュン</t>
    </rPh>
    <phoneticPr fontId="1"/>
  </si>
  <si>
    <t>←上記赤字を選択</t>
    <rPh sb="1" eb="3">
      <t>ジョウキ</t>
    </rPh>
    <rPh sb="3" eb="5">
      <t>アカジ</t>
    </rPh>
    <rPh sb="6" eb="8">
      <t>センタク</t>
    </rPh>
    <phoneticPr fontId="1"/>
  </si>
  <si>
    <t>←テキストp108の「少な目」よりも少ないが、大きな問題はない</t>
    <rPh sb="11" eb="12">
      <t>スク</t>
    </rPh>
    <rPh sb="13" eb="14">
      <t>メ</t>
    </rPh>
    <rPh sb="18" eb="19">
      <t>スク</t>
    </rPh>
    <rPh sb="23" eb="24">
      <t>オオ</t>
    </rPh>
    <rPh sb="26" eb="28">
      <t>モンダイ</t>
    </rPh>
    <phoneticPr fontId="1"/>
  </si>
  <si>
    <t>少な目</t>
    <rPh sb="0" eb="1">
      <t>スク</t>
    </rPh>
    <rPh sb="2" eb="3">
      <t>メ</t>
    </rPh>
    <phoneticPr fontId="1"/>
  </si>
  <si>
    <t>しんきゅうさん</t>
    <phoneticPr fontId="1"/>
  </si>
  <si>
    <t>選択</t>
    <rPh sb="0" eb="2">
      <t>センタク</t>
    </rPh>
    <phoneticPr fontId="1"/>
  </si>
  <si>
    <t>自立温暖地版詳細</t>
    <rPh sb="0" eb="2">
      <t>ジリツ</t>
    </rPh>
    <rPh sb="2" eb="5">
      <t>オンダンチ</t>
    </rPh>
    <rPh sb="5" eb="6">
      <t>バン</t>
    </rPh>
    <rPh sb="6" eb="8">
      <t>ショウサイ</t>
    </rPh>
    <phoneticPr fontId="1"/>
  </si>
  <si>
    <t>自立入門</t>
    <rPh sb="0" eb="2">
      <t>ジリツ</t>
    </rPh>
    <rPh sb="2" eb="4">
      <t>ニュウモン</t>
    </rPh>
    <phoneticPr fontId="1"/>
  </si>
  <si>
    <t>液晶37型</t>
    <rPh sb="0" eb="2">
      <t>エキショウ</t>
    </rPh>
    <rPh sb="4" eb="5">
      <t>ガタ</t>
    </rPh>
    <phoneticPr fontId="1"/>
  </si>
  <si>
    <t>「その他」計算用</t>
    <rPh sb="3" eb="4">
      <t>タ</t>
    </rPh>
    <rPh sb="5" eb="7">
      <t>ケイサン</t>
    </rPh>
    <rPh sb="7" eb="8">
      <t>ヨウ</t>
    </rPh>
    <phoneticPr fontId="1"/>
  </si>
  <si>
    <t>その他の家電合計</t>
    <rPh sb="2" eb="3">
      <t>タ</t>
    </rPh>
    <rPh sb="4" eb="6">
      <t>カデン</t>
    </rPh>
    <rPh sb="6" eb="8">
      <t>ゴウケイ</t>
    </rPh>
    <phoneticPr fontId="1"/>
  </si>
  <si>
    <t>その他</t>
    <rPh sb="2" eb="3">
      <t>タ</t>
    </rPh>
    <phoneticPr fontId="1"/>
  </si>
  <si>
    <t>少なめ</t>
    <rPh sb="0" eb="1">
      <t>スク</t>
    </rPh>
    <phoneticPr fontId="1"/>
  </si>
  <si>
    <t>多め</t>
    <rPh sb="0" eb="1">
      <t>オオ</t>
    </rPh>
    <phoneticPr fontId="1"/>
  </si>
  <si>
    <t>平均的</t>
    <rPh sb="0" eb="3">
      <t>ヘイキンテキ</t>
    </rPh>
    <phoneticPr fontId="1"/>
  </si>
  <si>
    <t>調理（コンロ）エネルギーを減らす工夫の評価</t>
    <rPh sb="0" eb="2">
      <t>チョウリ</t>
    </rPh>
    <rPh sb="13" eb="14">
      <t>ヘ</t>
    </rPh>
    <rPh sb="16" eb="18">
      <t>クフウ</t>
    </rPh>
    <rPh sb="19" eb="21">
      <t>ヒョウカ</t>
    </rPh>
    <phoneticPr fontId="1"/>
  </si>
  <si>
    <t>地域別</t>
    <rPh sb="0" eb="3">
      <t>チイキベツ</t>
    </rPh>
    <phoneticPr fontId="1"/>
  </si>
  <si>
    <t>選択→</t>
    <rPh sb="0" eb="2">
      <t>センタク</t>
    </rPh>
    <phoneticPr fontId="1"/>
  </si>
  <si>
    <t>係数</t>
    <rPh sb="0" eb="2">
      <t>ケイスウ</t>
    </rPh>
    <phoneticPr fontId="1"/>
  </si>
  <si>
    <t>世帯人数</t>
    <rPh sb="0" eb="4">
      <t>セタイニンズウ</t>
    </rPh>
    <phoneticPr fontId="1"/>
  </si>
  <si>
    <t>決定係数→</t>
    <rPh sb="0" eb="2">
      <t>ケッッテイ</t>
    </rPh>
    <rPh sb="2" eb="4">
      <t>ケイスウ</t>
    </rPh>
    <phoneticPr fontId="1"/>
  </si>
  <si>
    <t>ff分</t>
    <rPh sb="2" eb="3">
      <t>ブン</t>
    </rPh>
    <phoneticPr fontId="1"/>
  </si>
  <si>
    <t>電気</t>
    <rPh sb="0" eb="2">
      <t>デンキ</t>
    </rPh>
    <phoneticPr fontId="1"/>
  </si>
  <si>
    <t>一次エネ</t>
    <rPh sb="0" eb="2">
      <t>イチジ</t>
    </rPh>
    <phoneticPr fontId="1"/>
  </si>
  <si>
    <t>電気</t>
    <rPh sb="0" eb="2">
      <t>デンキ</t>
    </rPh>
    <phoneticPr fontId="1"/>
  </si>
  <si>
    <t>都市ガス</t>
    <rPh sb="0" eb="2">
      <t>トシ</t>
    </rPh>
    <phoneticPr fontId="1"/>
  </si>
  <si>
    <t>LPガス</t>
    <phoneticPr fontId="1"/>
  </si>
  <si>
    <t>灯油</t>
    <rPh sb="0" eb="2">
      <t>トウユ</t>
    </rPh>
    <phoneticPr fontId="1"/>
  </si>
  <si>
    <t>薪</t>
    <rPh sb="0" eb="1">
      <t>マキ</t>
    </rPh>
    <phoneticPr fontId="1"/>
  </si>
  <si>
    <t>ペレット</t>
    <phoneticPr fontId="1"/>
  </si>
  <si>
    <t>電気＆都市ガス</t>
    <rPh sb="0" eb="2">
      <t>デンキ</t>
    </rPh>
    <rPh sb="3" eb="5">
      <t>トシ</t>
    </rPh>
    <phoneticPr fontId="1"/>
  </si>
  <si>
    <t>電気＆LPガス</t>
    <rPh sb="0" eb="2">
      <t>デンキ</t>
    </rPh>
    <phoneticPr fontId="1"/>
  </si>
  <si>
    <t>電気＆灯油</t>
    <rPh sb="0" eb="2">
      <t>デンキ</t>
    </rPh>
    <rPh sb="3" eb="5">
      <t>トウユ</t>
    </rPh>
    <phoneticPr fontId="1"/>
  </si>
  <si>
    <t>エネルギー単価</t>
    <rPh sb="5" eb="7">
      <t>タンカ</t>
    </rPh>
    <phoneticPr fontId="1"/>
  </si>
  <si>
    <t>LPガス</t>
    <phoneticPr fontId="1"/>
  </si>
  <si>
    <t>円/kWh</t>
    <rPh sb="0" eb="1">
      <t>エン</t>
    </rPh>
    <phoneticPr fontId="1"/>
  </si>
  <si>
    <t>円/m3</t>
    <rPh sb="0" eb="1">
      <t>エン</t>
    </rPh>
    <phoneticPr fontId="1"/>
  </si>
  <si>
    <t>円/㍑</t>
    <rPh sb="0" eb="1">
      <t>エン</t>
    </rPh>
    <phoneticPr fontId="1"/>
  </si>
  <si>
    <t>円/kg</t>
    <rPh sb="0" eb="1">
      <t>エン</t>
    </rPh>
    <phoneticPr fontId="1"/>
  </si>
  <si>
    <t>主居室</t>
    <rPh sb="0" eb="1">
      <t>シュ</t>
    </rPh>
    <rPh sb="1" eb="3">
      <t>キョシツ</t>
    </rPh>
    <phoneticPr fontId="1"/>
  </si>
  <si>
    <t>他居室</t>
    <rPh sb="0" eb="1">
      <t>タ</t>
    </rPh>
    <rPh sb="1" eb="3">
      <t>キョシツ</t>
    </rPh>
    <phoneticPr fontId="1"/>
  </si>
  <si>
    <t>before</t>
    <phoneticPr fontId="1"/>
  </si>
  <si>
    <t>ファンヒーター（都市ガス）</t>
    <rPh sb="8" eb="10">
      <t>トシ</t>
    </rPh>
    <phoneticPr fontId="1"/>
  </si>
  <si>
    <t>ファンヒーター（LPガス）</t>
    <phoneticPr fontId="1"/>
  </si>
  <si>
    <t>ファンヒーター（灯油）</t>
    <rPh sb="8" eb="10">
      <t>トウユ</t>
    </rPh>
    <phoneticPr fontId="1"/>
  </si>
  <si>
    <t>温水床暖房（都市ガス）</t>
    <rPh sb="6" eb="8">
      <t>トシ</t>
    </rPh>
    <phoneticPr fontId="1"/>
  </si>
  <si>
    <t>温水床暖房（LPガス）</t>
    <phoneticPr fontId="1"/>
  </si>
  <si>
    <t>温水床暖房（灯油）</t>
    <rPh sb="6" eb="8">
      <t>トウユ</t>
    </rPh>
    <phoneticPr fontId="1"/>
  </si>
  <si>
    <t>ファンヒーター（都市ガス）＋こたつ</t>
    <rPh sb="8" eb="10">
      <t>トシ</t>
    </rPh>
    <phoneticPr fontId="1"/>
  </si>
  <si>
    <t>ファンヒーター（LPガス）＋こたつ</t>
    <phoneticPr fontId="1"/>
  </si>
  <si>
    <t>ファンヒーター（灯油）＋こたつ</t>
    <rPh sb="8" eb="10">
      <t>トウユ</t>
    </rPh>
    <phoneticPr fontId="1"/>
  </si>
  <si>
    <t>一次エネ</t>
    <rPh sb="0" eb="2">
      <t>イチジ</t>
    </rPh>
    <phoneticPr fontId="1"/>
  </si>
  <si>
    <t>係数</t>
    <rPh sb="0" eb="2">
      <t>ケイスウ</t>
    </rPh>
    <phoneticPr fontId="1"/>
  </si>
  <si>
    <t>ファンヒーター＋こたつの場合</t>
    <rPh sb="12" eb="14">
      <t>バアイ</t>
    </rPh>
    <phoneticPr fontId="1"/>
  </si>
  <si>
    <t>ff</t>
    <phoneticPr fontId="1"/>
  </si>
  <si>
    <t>こたつ</t>
    <phoneticPr fontId="1"/>
  </si>
  <si>
    <t>←1985本数値根拠2017</t>
    <rPh sb="5" eb="6">
      <t>ホン</t>
    </rPh>
    <rPh sb="6" eb="8">
      <t>スウチ</t>
    </rPh>
    <rPh sb="8" eb="10">
      <t>コンキョ</t>
    </rPh>
    <phoneticPr fontId="1"/>
  </si>
  <si>
    <t>比率</t>
    <rPh sb="0" eb="2">
      <t>ヒリツ</t>
    </rPh>
    <phoneticPr fontId="1"/>
  </si>
  <si>
    <t>合計</t>
    <rPh sb="0" eb="2">
      <t>ゴウケイ</t>
    </rPh>
    <phoneticPr fontId="1"/>
  </si>
  <si>
    <t>ファンヒーター（LPガス）</t>
    <phoneticPr fontId="1"/>
  </si>
  <si>
    <t>温水床暖房（LPガス）</t>
    <phoneticPr fontId="1"/>
  </si>
  <si>
    <t>ファンヒーター（LPガス）＋こたつ</t>
    <phoneticPr fontId="1"/>
  </si>
  <si>
    <t>薪ストーブの場合</t>
    <rPh sb="0" eb="1">
      <t>マキ</t>
    </rPh>
    <rPh sb="6" eb="8">
      <t>バアイ</t>
    </rPh>
    <phoneticPr fontId="1"/>
  </si>
  <si>
    <t>暖房負荷を計算する必要がある</t>
    <rPh sb="0" eb="2">
      <t>ダンボウ</t>
    </rPh>
    <rPh sb="2" eb="4">
      <t>フカ</t>
    </rPh>
    <rPh sb="5" eb="7">
      <t>ケイサン</t>
    </rPh>
    <rPh sb="9" eb="11">
      <t>ヒツヨウ</t>
    </rPh>
    <phoneticPr fontId="1"/>
  </si>
  <si>
    <t>基準値</t>
    <rPh sb="0" eb="3">
      <t>キジュンチ</t>
    </rPh>
    <phoneticPr fontId="1"/>
  </si>
  <si>
    <t>GJ</t>
    <phoneticPr fontId="1"/>
  </si>
  <si>
    <t>電力消費量</t>
    <rPh sb="0" eb="5">
      <t>デンリョクショウヒリョウ</t>
    </rPh>
    <phoneticPr fontId="1"/>
  </si>
  <si>
    <t>kWh</t>
    <phoneticPr fontId="1"/>
  </si>
  <si>
    <t>COP</t>
    <phoneticPr fontId="1"/>
  </si>
  <si>
    <t>暖房負荷</t>
    <rPh sb="0" eb="4">
      <t>ダンボウフカ</t>
    </rPh>
    <phoneticPr fontId="1"/>
  </si>
  <si>
    <t>MJ</t>
    <phoneticPr fontId="1"/>
  </si>
  <si>
    <t>＜日射取得＞</t>
    <rPh sb="1" eb="3">
      <t>ニッシャ</t>
    </rPh>
    <rPh sb="3" eb="5">
      <t>シュトク</t>
    </rPh>
    <phoneticPr fontId="1"/>
  </si>
  <si>
    <t>＜窓の工夫＞</t>
    <rPh sb="1" eb="2">
      <t>マド</t>
    </rPh>
    <rPh sb="3" eb="5">
      <t>クフウ</t>
    </rPh>
    <phoneticPr fontId="1"/>
  </si>
  <si>
    <t>＜蓄熱＞</t>
    <rPh sb="1" eb="3">
      <t>チクネツ</t>
    </rPh>
    <phoneticPr fontId="1"/>
  </si>
  <si>
    <t>暖房負荷</t>
    <rPh sb="0" eb="4">
      <t>ダンボウフカ</t>
    </rPh>
    <phoneticPr fontId="1"/>
  </si>
  <si>
    <t>kWh</t>
    <phoneticPr fontId="1"/>
  </si>
  <si>
    <t>after</t>
    <phoneticPr fontId="1"/>
  </si>
  <si>
    <t>給湯</t>
    <rPh sb="0" eb="2">
      <t>キュウトウ</t>
    </rPh>
    <phoneticPr fontId="1"/>
  </si>
  <si>
    <t>従来型都市ガス給湯器</t>
    <rPh sb="0" eb="3">
      <t>ジュウライガタ</t>
    </rPh>
    <rPh sb="3" eb="5">
      <t>トシ</t>
    </rPh>
    <rPh sb="7" eb="10">
      <t>キュウトウキ</t>
    </rPh>
    <phoneticPr fontId="1"/>
  </si>
  <si>
    <t>従来型LPガス給湯器</t>
    <rPh sb="0" eb="3">
      <t>ジュウライガタ</t>
    </rPh>
    <rPh sb="7" eb="10">
      <t>キュウトウキ</t>
    </rPh>
    <phoneticPr fontId="1"/>
  </si>
  <si>
    <t>従来型灯油給湯器</t>
    <rPh sb="0" eb="3">
      <t>ジュウライガタ</t>
    </rPh>
    <rPh sb="3" eb="5">
      <t>トウユ</t>
    </rPh>
    <rPh sb="5" eb="8">
      <t>キュトウキ</t>
    </rPh>
    <phoneticPr fontId="1"/>
  </si>
  <si>
    <t>エコジョーズ（都市ガス）</t>
    <rPh sb="7" eb="9">
      <t>トシ</t>
    </rPh>
    <phoneticPr fontId="1"/>
  </si>
  <si>
    <t>エコジョーズ（LPガス）</t>
    <phoneticPr fontId="1"/>
  </si>
  <si>
    <t>太陽熱温水器＋エコジョーズ（都市ガス）</t>
    <rPh sb="14" eb="16">
      <t>トシ</t>
    </rPh>
    <phoneticPr fontId="1"/>
  </si>
  <si>
    <t>太陽熱温水器＋エコジョーズ（LPガス）</t>
    <phoneticPr fontId="1"/>
  </si>
  <si>
    <t>太陽熱温水器＋エコフィール</t>
    <phoneticPr fontId="1"/>
  </si>
  <si>
    <t>エコフィール</t>
    <phoneticPr fontId="1"/>
  </si>
  <si>
    <t>before</t>
    <phoneticPr fontId="1"/>
  </si>
  <si>
    <t>給湯費</t>
    <rPh sb="0" eb="2">
      <t>キュウトウ</t>
    </rPh>
    <rPh sb="2" eb="3">
      <t>ヒ</t>
    </rPh>
    <phoneticPr fontId="1"/>
  </si>
  <si>
    <t>日中</t>
    <rPh sb="0" eb="2">
      <t>ニッチュウ</t>
    </rPh>
    <phoneticPr fontId="1"/>
  </si>
  <si>
    <t>夜間</t>
    <rPh sb="0" eb="2">
      <t>ヤカン</t>
    </rPh>
    <phoneticPr fontId="1"/>
  </si>
  <si>
    <t>after</t>
    <phoneticPr fontId="1"/>
  </si>
  <si>
    <t>選択</t>
    <rPh sb="0" eb="2">
      <t>センタク</t>
    </rPh>
    <phoneticPr fontId="1"/>
  </si>
  <si>
    <t>オール電化</t>
  </si>
  <si>
    <t>オール電化</t>
    <rPh sb="3" eb="5">
      <t>デンカ</t>
    </rPh>
    <phoneticPr fontId="1"/>
  </si>
  <si>
    <t>換気</t>
    <rPh sb="0" eb="2">
      <t>カンキ</t>
    </rPh>
    <phoneticPr fontId="1"/>
  </si>
  <si>
    <t>単価</t>
  </si>
  <si>
    <t>単価</t>
    <rPh sb="0" eb="2">
      <t>タンカ</t>
    </rPh>
    <phoneticPr fontId="1"/>
  </si>
  <si>
    <t>↓選択</t>
    <rPh sb="1" eb="3">
      <t>センタク</t>
    </rPh>
    <phoneticPr fontId="1"/>
  </si>
  <si>
    <t>before</t>
    <phoneticPr fontId="1"/>
  </si>
  <si>
    <t>after</t>
    <phoneticPr fontId="1"/>
  </si>
  <si>
    <t>最終暖房光熱費</t>
    <rPh sb="0" eb="2">
      <t>サイシュウ</t>
    </rPh>
    <rPh sb="2" eb="4">
      <t>ダンボウ</t>
    </rPh>
    <rPh sb="4" eb="6">
      <t>コウネツ</t>
    </rPh>
    <rPh sb="6" eb="7">
      <t>ヒ</t>
    </rPh>
    <phoneticPr fontId="1"/>
  </si>
  <si>
    <t>最終冷房光熱費</t>
    <rPh sb="0" eb="2">
      <t>サイシュウ</t>
    </rPh>
    <rPh sb="2" eb="4">
      <t>レイボウ</t>
    </rPh>
    <rPh sb="4" eb="6">
      <t>コウネツ</t>
    </rPh>
    <rPh sb="6" eb="7">
      <t>ヒ</t>
    </rPh>
    <phoneticPr fontId="1"/>
  </si>
  <si>
    <t>最終給湯光熱費</t>
    <rPh sb="0" eb="2">
      <t>サイシュウ</t>
    </rPh>
    <rPh sb="2" eb="4">
      <t>キュウトウ</t>
    </rPh>
    <rPh sb="4" eb="6">
      <t>コウネツ</t>
    </rPh>
    <rPh sb="6" eb="7">
      <t>ヒ</t>
    </rPh>
    <phoneticPr fontId="1"/>
  </si>
  <si>
    <t>最終照明光熱費</t>
    <rPh sb="0" eb="2">
      <t>サイシュウ</t>
    </rPh>
    <rPh sb="2" eb="4">
      <t>ショウメイ</t>
    </rPh>
    <rPh sb="4" eb="6">
      <t>コウネツ</t>
    </rPh>
    <rPh sb="6" eb="7">
      <t>ヒ</t>
    </rPh>
    <phoneticPr fontId="1"/>
  </si>
  <si>
    <t>最終換気光熱費</t>
    <rPh sb="0" eb="2">
      <t>サイシュウ</t>
    </rPh>
    <rPh sb="2" eb="4">
      <t>カンキ</t>
    </rPh>
    <rPh sb="4" eb="6">
      <t>コウネツ</t>
    </rPh>
    <rPh sb="6" eb="7">
      <t>ヒ</t>
    </rPh>
    <phoneticPr fontId="1"/>
  </si>
  <si>
    <t>最終家電光熱費</t>
    <rPh sb="0" eb="2">
      <t>サイシュウ</t>
    </rPh>
    <rPh sb="2" eb="4">
      <t>カデン</t>
    </rPh>
    <rPh sb="4" eb="6">
      <t>コウネツ</t>
    </rPh>
    <rPh sb="6" eb="7">
      <t>ヒ</t>
    </rPh>
    <phoneticPr fontId="1"/>
  </si>
  <si>
    <t>コンロの種類</t>
    <rPh sb="4" eb="6">
      <t>シュルイ</t>
    </rPh>
    <phoneticPr fontId="1"/>
  </si>
  <si>
    <t>IHコンロ</t>
    <phoneticPr fontId="1"/>
  </si>
  <si>
    <t>都市ガスコンロ</t>
    <rPh sb="0" eb="2">
      <t>トシ</t>
    </rPh>
    <phoneticPr fontId="1"/>
  </si>
  <si>
    <t>LPガスコンロ</t>
    <phoneticPr fontId="1"/>
  </si>
  <si>
    <t>最終コンロ光熱費</t>
    <rPh sb="0" eb="2">
      <t>サイシュウ</t>
    </rPh>
    <rPh sb="5" eb="7">
      <t>コウネツ</t>
    </rPh>
    <rPh sb="7" eb="8">
      <t>ヒ</t>
    </rPh>
    <phoneticPr fontId="1"/>
  </si>
  <si>
    <t>コンロ</t>
    <phoneticPr fontId="1"/>
  </si>
  <si>
    <t>電気</t>
  </si>
  <si>
    <t>都市ガス</t>
  </si>
  <si>
    <t>昼間単価</t>
  </si>
  <si>
    <t>【円/kWh】</t>
  </si>
  <si>
    <t>深夜単価</t>
  </si>
  <si>
    <t>基本料金</t>
  </si>
  <si>
    <t>【円/年】</t>
  </si>
  <si>
    <t>【円/m3】</t>
  </si>
  <si>
    <t>基本料金合計</t>
  </si>
  <si>
    <t>関東</t>
  </si>
  <si>
    <t>関西</t>
  </si>
  <si>
    <t>中部</t>
  </si>
  <si>
    <t>九州</t>
  </si>
  <si>
    <t>岡山</t>
  </si>
  <si>
    <t>オール電化</t>
    <rPh sb="3" eb="5">
      <t>デンカ</t>
    </rPh>
    <phoneticPr fontId="1"/>
  </si>
  <si>
    <t>電気（日中）</t>
    <rPh sb="0" eb="2">
      <t>デンキ</t>
    </rPh>
    <rPh sb="3" eb="5">
      <t>ニッチュウ</t>
    </rPh>
    <phoneticPr fontId="1"/>
  </si>
  <si>
    <t>電気（深夜）</t>
    <rPh sb="0" eb="2">
      <t>デンキ</t>
    </rPh>
    <rPh sb="3" eb="5">
      <t>シンヤ</t>
    </rPh>
    <phoneticPr fontId="1"/>
  </si>
  <si>
    <t>オール電化以外</t>
    <rPh sb="3" eb="5">
      <t>デンカ</t>
    </rPh>
    <rPh sb="5" eb="7">
      <t>イガイ</t>
    </rPh>
    <phoneticPr fontId="1"/>
  </si>
  <si>
    <t>電気</t>
    <rPh sb="0" eb="2">
      <t>デンキ</t>
    </rPh>
    <phoneticPr fontId="1"/>
  </si>
  <si>
    <t>※LPガスや灯油は地域や購入先による差が大きいため記載していません</t>
    <rPh sb="6" eb="8">
      <t>トウユ</t>
    </rPh>
    <rPh sb="9" eb="11">
      <t>チイキ</t>
    </rPh>
    <rPh sb="12" eb="15">
      <t>コウニュウサキ</t>
    </rPh>
    <rPh sb="18" eb="19">
      <t>サ</t>
    </rPh>
    <rPh sb="20" eb="21">
      <t>オオ</t>
    </rPh>
    <rPh sb="25" eb="27">
      <t>キサイ</t>
    </rPh>
    <phoneticPr fontId="1"/>
  </si>
  <si>
    <t>電気の単価</t>
    <rPh sb="0" eb="2">
      <t>デンキ</t>
    </rPh>
    <rPh sb="3" eb="5">
      <t>タンカ</t>
    </rPh>
    <phoneticPr fontId="1"/>
  </si>
  <si>
    <t>before</t>
    <phoneticPr fontId="1"/>
  </si>
  <si>
    <t>after</t>
    <phoneticPr fontId="1"/>
  </si>
  <si>
    <t>深夜</t>
    <rPh sb="0" eb="2">
      <t>シンヤ</t>
    </rPh>
    <phoneticPr fontId="1"/>
  </si>
  <si>
    <t>日中</t>
    <rPh sb="0" eb="2">
      <t>ニッチュウ</t>
    </rPh>
    <phoneticPr fontId="1"/>
  </si>
  <si>
    <t>before</t>
    <phoneticPr fontId="1"/>
  </si>
  <si>
    <t>after</t>
    <phoneticPr fontId="1"/>
  </si>
  <si>
    <t>照明、家電</t>
    <rPh sb="0" eb="2">
      <t>ショウメイ</t>
    </rPh>
    <rPh sb="3" eb="5">
      <t>カデン</t>
    </rPh>
    <phoneticPr fontId="1"/>
  </si>
  <si>
    <t>円/年</t>
    <rPh sb="0" eb="1">
      <t>エン</t>
    </rPh>
    <rPh sb="2" eb="3">
      <t>ネン</t>
    </rPh>
    <phoneticPr fontId="1"/>
  </si>
  <si>
    <t>差</t>
    <rPh sb="0" eb="1">
      <t>サ</t>
    </rPh>
    <phoneticPr fontId="1"/>
  </si>
  <si>
    <t>世帯人数</t>
    <rPh sb="0" eb="2">
      <t>セタイ</t>
    </rPh>
    <rPh sb="2" eb="4">
      <t>ニンズウ</t>
    </rPh>
    <phoneticPr fontId="12"/>
  </si>
  <si>
    <t>全国</t>
  </si>
  <si>
    <t>札幌市</t>
  </si>
  <si>
    <t>青森市</t>
  </si>
  <si>
    <t>盛岡市</t>
  </si>
  <si>
    <t>仙台市</t>
  </si>
  <si>
    <t>秋田市</t>
  </si>
  <si>
    <t>合計（MJ）</t>
    <rPh sb="0" eb="2">
      <t>ゴウケイ</t>
    </rPh>
    <phoneticPr fontId="12"/>
  </si>
  <si>
    <t>1人</t>
  </si>
  <si>
    <t>2人</t>
  </si>
  <si>
    <t>3人</t>
  </si>
  <si>
    <t>4人</t>
  </si>
  <si>
    <t>5人</t>
  </si>
  <si>
    <t>6人以上</t>
  </si>
  <si>
    <t>電力(kWh)</t>
    <rPh sb="0" eb="2">
      <t>デンリョク</t>
    </rPh>
    <phoneticPr fontId="12"/>
  </si>
  <si>
    <t>山形市</t>
  </si>
  <si>
    <t>福島市</t>
  </si>
  <si>
    <t>水戸市</t>
  </si>
  <si>
    <t>宇都宮市</t>
  </si>
  <si>
    <t>前橋市</t>
  </si>
  <si>
    <t>さいたま市</t>
  </si>
  <si>
    <t>千葉市</t>
  </si>
  <si>
    <t>東京都区部</t>
  </si>
  <si>
    <t>横浜市</t>
  </si>
  <si>
    <t>川崎市</t>
  </si>
  <si>
    <t>新潟市</t>
  </si>
  <si>
    <t>富山市</t>
  </si>
  <si>
    <t>金沢市</t>
  </si>
  <si>
    <t>福井市</t>
  </si>
  <si>
    <t>甲府市</t>
  </si>
  <si>
    <t>長野市</t>
  </si>
  <si>
    <t>岐阜市</t>
  </si>
  <si>
    <t>静岡市</t>
  </si>
  <si>
    <t>名古屋市</t>
  </si>
  <si>
    <t>津市</t>
  </si>
  <si>
    <t>大津市</t>
  </si>
  <si>
    <t>京都市</t>
  </si>
  <si>
    <t>大阪市</t>
  </si>
  <si>
    <t>神戸市</t>
  </si>
  <si>
    <t>奈良市</t>
  </si>
  <si>
    <t>和歌山市</t>
  </si>
  <si>
    <t>鳥取市</t>
  </si>
  <si>
    <t>松江市</t>
  </si>
  <si>
    <t>岡山市</t>
  </si>
  <si>
    <t>広島市</t>
  </si>
  <si>
    <t>山口市</t>
  </si>
  <si>
    <t>徳島市</t>
  </si>
  <si>
    <t>高松市</t>
  </si>
  <si>
    <t>松山市</t>
  </si>
  <si>
    <t>高知市</t>
  </si>
  <si>
    <t>北九州市</t>
  </si>
  <si>
    <t>福岡市</t>
  </si>
  <si>
    <t>佐賀市</t>
  </si>
  <si>
    <t>長崎市</t>
  </si>
  <si>
    <t>熊本市</t>
  </si>
  <si>
    <t>大分市</t>
  </si>
  <si>
    <t>宮崎市</t>
  </si>
  <si>
    <t>鹿児島市</t>
  </si>
  <si>
    <t>那覇市</t>
  </si>
  <si>
    <t>電力</t>
    <rPh sb="0" eb="2">
      <t>デンリョク</t>
    </rPh>
    <phoneticPr fontId="1"/>
  </si>
  <si>
    <t>電力決定</t>
    <rPh sb="0" eb="2">
      <t>デンリョク</t>
    </rPh>
    <rPh sb="2" eb="4">
      <t>ケッテイ</t>
    </rPh>
    <phoneticPr fontId="1"/>
  </si>
  <si>
    <t>kWh/年</t>
    <rPh sb="4" eb="5">
      <t>ネン</t>
    </rPh>
    <phoneticPr fontId="1"/>
  </si>
  <si>
    <t>決定</t>
    <rPh sb="0" eb="2">
      <t>ケッテイ</t>
    </rPh>
    <phoneticPr fontId="1"/>
  </si>
  <si>
    <t>合計</t>
    <rPh sb="0" eb="2">
      <t>ゴウケイ</t>
    </rPh>
    <phoneticPr fontId="1"/>
  </si>
  <si>
    <t>電力消費量</t>
    <rPh sb="0" eb="5">
      <t>デンリョクショウヒリョウ</t>
    </rPh>
    <phoneticPr fontId="1"/>
  </si>
  <si>
    <t>MJ/年</t>
    <rPh sb="3" eb="4">
      <t>ネン</t>
    </rPh>
    <phoneticPr fontId="1"/>
  </si>
  <si>
    <t>総発電量</t>
    <rPh sb="0" eb="4">
      <t>ソウハツデンリョウ</t>
    </rPh>
    <phoneticPr fontId="1"/>
  </si>
  <si>
    <t>１）エネルギー消費性能計算プログラムを開きます</t>
    <rPh sb="7" eb="11">
      <t>ショウヒセイノウ</t>
    </rPh>
    <rPh sb="11" eb="13">
      <t>ケイサン</t>
    </rPh>
    <rPh sb="19" eb="20">
      <t>ヒラ</t>
    </rPh>
    <phoneticPr fontId="1"/>
  </si>
  <si>
    <t>https://house.app.lowenergy.jp/</t>
    <phoneticPr fontId="1"/>
  </si>
  <si>
    <t>２）「基本情報」のタブを開き、年間日射地区分を選択します</t>
    <rPh sb="3" eb="5">
      <t>キホン</t>
    </rPh>
    <rPh sb="5" eb="7">
      <t>ジョウホウ</t>
    </rPh>
    <rPh sb="12" eb="13">
      <t>ヒラ</t>
    </rPh>
    <rPh sb="15" eb="17">
      <t>ネンカン</t>
    </rPh>
    <rPh sb="17" eb="19">
      <t>ニッシャ</t>
    </rPh>
    <rPh sb="19" eb="21">
      <t>チク</t>
    </rPh>
    <rPh sb="21" eb="22">
      <t>ブン</t>
    </rPh>
    <rPh sb="23" eb="25">
      <t>センタク</t>
    </rPh>
    <phoneticPr fontId="1"/>
  </si>
  <si>
    <t>４）次のような画面が出てきますが、「閉じる」をクリックして閉じます</t>
    <rPh sb="2" eb="3">
      <t>ツギ</t>
    </rPh>
    <rPh sb="7" eb="9">
      <t>ガメン</t>
    </rPh>
    <rPh sb="10" eb="11">
      <t>デ</t>
    </rPh>
    <rPh sb="18" eb="19">
      <t>ト</t>
    </rPh>
    <rPh sb="29" eb="30">
      <t>ト</t>
    </rPh>
    <phoneticPr fontId="1"/>
  </si>
  <si>
    <t>５）右上の「出力」をクリックします</t>
    <rPh sb="2" eb="4">
      <t>ミギウエ</t>
    </rPh>
    <rPh sb="6" eb="8">
      <t>シュツリョク</t>
    </rPh>
    <phoneticPr fontId="1"/>
  </si>
  <si>
    <t>６）次の画面が出てくるので、赤枠のところをクリックします</t>
    <rPh sb="2" eb="3">
      <t>ツギ</t>
    </rPh>
    <rPh sb="4" eb="6">
      <t>ガメン</t>
    </rPh>
    <rPh sb="7" eb="8">
      <t>デ</t>
    </rPh>
    <rPh sb="14" eb="16">
      <t>アカワク</t>
    </rPh>
    <phoneticPr fontId="1"/>
  </si>
  <si>
    <t>GJ/年</t>
    <rPh sb="3" eb="4">
      <t>ネン</t>
    </rPh>
    <phoneticPr fontId="1"/>
  </si>
  <si>
    <t>円/kWh</t>
    <rPh sb="0" eb="1">
      <t>エン</t>
    </rPh>
    <phoneticPr fontId="1"/>
  </si>
  <si>
    <t>太陽光発電による発電量</t>
    <rPh sb="0" eb="5">
      <t>タイヨウコウハツデン</t>
    </rPh>
    <rPh sb="8" eb="11">
      <t>ハツデンリョウ</t>
    </rPh>
    <phoneticPr fontId="1"/>
  </si>
  <si>
    <t>太陽光発電による発電の評価</t>
    <rPh sb="0" eb="5">
      <t>タイヨウコウハツデン</t>
    </rPh>
    <rPh sb="8" eb="10">
      <t>ハツデン</t>
    </rPh>
    <rPh sb="11" eb="13">
      <t>ヒョウカ</t>
    </rPh>
    <phoneticPr fontId="1"/>
  </si>
  <si>
    <t>発電電力の取扱い</t>
    <rPh sb="0" eb="2">
      <t>ハツデン</t>
    </rPh>
    <rPh sb="2" eb="4">
      <t>デンリョク</t>
    </rPh>
    <rPh sb="5" eb="7">
      <t>トリアツカイ</t>
    </rPh>
    <phoneticPr fontId="1"/>
  </si>
  <si>
    <t>蓄電池を導入して、すべて自家消費する</t>
    <rPh sb="0" eb="3">
      <t>チクデンチ</t>
    </rPh>
    <rPh sb="4" eb="6">
      <t>ドウニュウ</t>
    </rPh>
    <rPh sb="12" eb="16">
      <t>ジカショウヒ</t>
    </rPh>
    <phoneticPr fontId="1"/>
  </si>
  <si>
    <t>蓄電池は導入せず、余剰電力を売電する</t>
    <rPh sb="0" eb="3">
      <t>チクデンチ</t>
    </rPh>
    <rPh sb="4" eb="6">
      <t>ドウニュウ</t>
    </rPh>
    <rPh sb="9" eb="13">
      <t>ヨジョウデンリョク</t>
    </rPh>
    <rPh sb="14" eb="16">
      <t>バイデン</t>
    </rPh>
    <phoneticPr fontId="1"/>
  </si>
  <si>
    <t>売電する場合の売電価格</t>
    <rPh sb="0" eb="2">
      <t>バイデン</t>
    </rPh>
    <rPh sb="4" eb="6">
      <t>バアイ</t>
    </rPh>
    <rPh sb="7" eb="9">
      <t>バイデン</t>
    </rPh>
    <rPh sb="9" eb="11">
      <t>カカク</t>
    </rPh>
    <phoneticPr fontId="1"/>
  </si>
  <si>
    <t>↓自家消費分の買電価格（日中のみ）</t>
    <rPh sb="1" eb="5">
      <t>ジカショウヒ</t>
    </rPh>
    <rPh sb="5" eb="6">
      <t>ブン</t>
    </rPh>
    <rPh sb="7" eb="8">
      <t>カ</t>
    </rPh>
    <rPh sb="8" eb="9">
      <t>デン</t>
    </rPh>
    <rPh sb="9" eb="11">
      <t>カカク</t>
    </rPh>
    <rPh sb="12" eb="14">
      <t>ニッチュウ</t>
    </rPh>
    <phoneticPr fontId="1"/>
  </si>
  <si>
    <t>お使いになる前に</t>
    <rPh sb="1" eb="2">
      <t>ツカ</t>
    </rPh>
    <rPh sb="6" eb="7">
      <t>マエ</t>
    </rPh>
    <phoneticPr fontId="24"/>
  </si>
  <si>
    <t>すべての計算シートのセルは次のように色分けされています。</t>
    <rPh sb="4" eb="6">
      <t>ケイサン</t>
    </rPh>
    <rPh sb="13" eb="14">
      <t>ツギ</t>
    </rPh>
    <rPh sb="18" eb="20">
      <t>イロワ</t>
    </rPh>
    <phoneticPr fontId="24"/>
  </si>
  <si>
    <t>：数値や単語を入力するセル</t>
    <phoneticPr fontId="12"/>
  </si>
  <si>
    <t>：プルダウンメニューで選択するセル</t>
    <rPh sb="11" eb="13">
      <t>センタク</t>
    </rPh>
    <phoneticPr fontId="24"/>
  </si>
  <si>
    <t>また「他にこんな計算シートやデータ類がほしい」というリクエストがあればご連絡ください。</t>
    <rPh sb="3" eb="4">
      <t>ホカ</t>
    </rPh>
    <rPh sb="8" eb="10">
      <t>ケイサン</t>
    </rPh>
    <rPh sb="17" eb="18">
      <t>ルイ</t>
    </rPh>
    <rPh sb="36" eb="38">
      <t>レンラク</t>
    </rPh>
    <phoneticPr fontId="24"/>
  </si>
  <si>
    <t>一般社団法人Forward to 1985 energy life</t>
    <rPh sb="0" eb="2">
      <t>イッパン</t>
    </rPh>
    <rPh sb="2" eb="4">
      <t>シャダン</t>
    </rPh>
    <rPh sb="4" eb="6">
      <t>ホウジン</t>
    </rPh>
    <phoneticPr fontId="24"/>
  </si>
  <si>
    <t>jimukyoku@to1985.net</t>
    <phoneticPr fontId="24"/>
  </si>
  <si>
    <t>【このExcelの作成者】</t>
    <rPh sb="9" eb="12">
      <t>サクセイシャ</t>
    </rPh>
    <phoneticPr fontId="24"/>
  </si>
  <si>
    <t>野池政宏（住まいと環境社、一般社団法人Forward to 1985 energy life代表理事）</t>
    <rPh sb="0" eb="4">
      <t>ノイケ</t>
    </rPh>
    <rPh sb="5" eb="6">
      <t>ス</t>
    </rPh>
    <rPh sb="9" eb="11">
      <t>カンキョウ</t>
    </rPh>
    <rPh sb="11" eb="12">
      <t>シャ</t>
    </rPh>
    <rPh sb="13" eb="19">
      <t>イッパンシャダンホウジン</t>
    </rPh>
    <rPh sb="46" eb="50">
      <t>ダイヒョウリジ</t>
    </rPh>
    <phoneticPr fontId="24"/>
  </si>
  <si>
    <t>【このExcelの作成月】</t>
    <rPh sb="9" eb="11">
      <t>サクセイ</t>
    </rPh>
    <rPh sb="11" eb="12">
      <t>ツキ</t>
    </rPh>
    <phoneticPr fontId="24"/>
  </si>
  <si>
    <r>
      <t xml:space="preserve">1985家族かんたん試算ツール </t>
    </r>
    <r>
      <rPr>
        <b/>
        <sz val="12"/>
        <color theme="0"/>
        <rFont val="Meiryo UI"/>
        <family val="3"/>
        <charset val="128"/>
      </rPr>
      <t>Ver.19.01</t>
    </r>
    <rPh sb="4" eb="6">
      <t>カゾク</t>
    </rPh>
    <rPh sb="10" eb="12">
      <t>シサン</t>
    </rPh>
    <phoneticPr fontId="24"/>
  </si>
  <si>
    <t>基本情報</t>
    <rPh sb="0" eb="4">
      <t>キホンジョウホウ</t>
    </rPh>
    <phoneticPr fontId="1"/>
  </si>
  <si>
    <t>エネルギー料金</t>
    <rPh sb="5" eb="7">
      <t>リョウキン</t>
    </rPh>
    <phoneticPr fontId="1"/>
  </si>
  <si>
    <t xml:space="preserve"> 地域区分</t>
    <rPh sb="1" eb="5">
      <t>チイキクブン</t>
    </rPh>
    <phoneticPr fontId="1"/>
  </si>
  <si>
    <t xml:space="preserve"> 世帯人数</t>
  </si>
  <si>
    <t xml:space="preserve"> オール電化or非オール電化</t>
    <rPh sb="4" eb="6">
      <t>デンカ</t>
    </rPh>
    <rPh sb="8" eb="9">
      <t>ヒ</t>
    </rPh>
    <rPh sb="12" eb="14">
      <t>デンカ</t>
    </rPh>
    <phoneticPr fontId="1"/>
  </si>
  <si>
    <t xml:space="preserve"> エネルギー年間基本料金（概数）</t>
    <rPh sb="6" eb="8">
      <t>ネンカン</t>
    </rPh>
    <rPh sb="8" eb="12">
      <t>キホンリョウキン</t>
    </rPh>
    <rPh sb="13" eb="15">
      <t>ガイスウ</t>
    </rPh>
    <phoneticPr fontId="1"/>
  </si>
  <si>
    <t>正確に算出したい場合は、初期値を変更してください。（下記の情報も参考にしてください）</t>
    <rPh sb="0" eb="2">
      <t>セイカク</t>
    </rPh>
    <rPh sb="3" eb="5">
      <t>サンシュツ</t>
    </rPh>
    <rPh sb="8" eb="10">
      <t>バアイ</t>
    </rPh>
    <rPh sb="12" eb="15">
      <t>ショキチ</t>
    </rPh>
    <rPh sb="16" eb="18">
      <t>ヘンコウ</t>
    </rPh>
    <rPh sb="26" eb="28">
      <t>カキ</t>
    </rPh>
    <rPh sb="29" eb="31">
      <t>ジョウホウ</t>
    </rPh>
    <rPh sb="32" eb="34">
      <t>サンコウ</t>
    </rPh>
    <phoneticPr fontId="1"/>
  </si>
  <si>
    <t>エネルギー単価 参考情報</t>
    <rPh sb="5" eb="7">
      <t>タンカ</t>
    </rPh>
    <rPh sb="8" eb="12">
      <t>サンコウジョウホウ</t>
    </rPh>
    <phoneticPr fontId="1"/>
  </si>
  <si>
    <t>地域</t>
    <rPh sb="0" eb="2">
      <t>チイキ</t>
    </rPh>
    <phoneticPr fontId="1"/>
  </si>
  <si>
    <t>BEFOREの把握</t>
    <rPh sb="7" eb="9">
      <t>ハアク</t>
    </rPh>
    <phoneticPr fontId="1"/>
  </si>
  <si>
    <t>AFTERの提案</t>
    <rPh sb="6" eb="8">
      <t>テイアン</t>
    </rPh>
    <phoneticPr fontId="1"/>
  </si>
  <si>
    <t>一次エネルギー
消費量
GJ/年</t>
    <phoneticPr fontId="1"/>
  </si>
  <si>
    <t>工夫の内容</t>
    <rPh sb="0" eb="2">
      <t>クフウ</t>
    </rPh>
    <rPh sb="3" eb="5">
      <t>ナイヨウ</t>
    </rPh>
    <phoneticPr fontId="1"/>
  </si>
  <si>
    <t>提案内容の入力</t>
    <rPh sb="0" eb="4">
      <t>テイアンナイヨウ</t>
    </rPh>
    <rPh sb="5" eb="7">
      <t>ニュウリョク</t>
    </rPh>
    <phoneticPr fontId="1"/>
  </si>
  <si>
    <t>提案の効果</t>
    <rPh sb="0" eb="2">
      <t>テイアン</t>
    </rPh>
    <rPh sb="3" eb="5">
      <t>コウカ</t>
    </rPh>
    <phoneticPr fontId="1"/>
  </si>
  <si>
    <t>BEFORE</t>
    <phoneticPr fontId="1"/>
  </si>
  <si>
    <t>AFTER</t>
    <phoneticPr fontId="1"/>
  </si>
  <si>
    <t>■一次エネルギー消費量</t>
    <rPh sb="1" eb="3">
      <t>イチジ</t>
    </rPh>
    <rPh sb="8" eb="11">
      <t>ショウヒリョウ</t>
    </rPh>
    <phoneticPr fontId="1"/>
  </si>
  <si>
    <t>■光熱費</t>
    <rPh sb="1" eb="4">
      <t>コウネツヒ</t>
    </rPh>
    <phoneticPr fontId="1"/>
  </si>
  <si>
    <t>BEFOREに対する削減量</t>
    <rPh sb="7" eb="8">
      <t>タイ</t>
    </rPh>
    <rPh sb="10" eb="12">
      <t>サクゲン</t>
    </rPh>
    <rPh sb="12" eb="13">
      <t>リョウ</t>
    </rPh>
    <phoneticPr fontId="1"/>
  </si>
  <si>
    <t>BEFOREに対する削減率</t>
    <rPh sb="7" eb="8">
      <t>タイ</t>
    </rPh>
    <rPh sb="10" eb="13">
      <t>サクゲンリツ</t>
    </rPh>
    <phoneticPr fontId="1"/>
  </si>
  <si>
    <t>BEFOREに対する削減費</t>
    <rPh sb="7" eb="8">
      <t>タイ</t>
    </rPh>
    <rPh sb="10" eb="12">
      <t>サクゲン</t>
    </rPh>
    <rPh sb="12" eb="13">
      <t>ヒ</t>
    </rPh>
    <phoneticPr fontId="1"/>
  </si>
  <si>
    <t>換気設備を選択して自動計算</t>
    <rPh sb="0" eb="4">
      <t>カンキセツビ</t>
    </rPh>
    <rPh sb="5" eb="7">
      <t>センタク</t>
    </rPh>
    <rPh sb="9" eb="13">
      <t>ジドウケイサン</t>
    </rPh>
    <phoneticPr fontId="1"/>
  </si>
  <si>
    <t>入力の方法</t>
    <rPh sb="0" eb="2">
      <t>ニュウリョク</t>
    </rPh>
    <rPh sb="3" eb="5">
      <t>ホウホウ</t>
    </rPh>
    <phoneticPr fontId="1"/>
  </si>
  <si>
    <t>一次エネルギー消費量を手入力</t>
    <rPh sb="0" eb="2">
      <t>イチジ</t>
    </rPh>
    <rPh sb="7" eb="10">
      <t>ショウヒリョウ</t>
    </rPh>
    <rPh sb="11" eb="14">
      <t>テニュウリョク</t>
    </rPh>
    <phoneticPr fontId="1"/>
  </si>
  <si>
    <t>GJ/年</t>
    <rPh sb="3" eb="4">
      <t>ネン</t>
    </rPh>
    <phoneticPr fontId="1"/>
  </si>
  <si>
    <t>一次エネルギー消費量を
手入力する場合の入力欄</t>
    <rPh sb="0" eb="2">
      <t>イチジ</t>
    </rPh>
    <rPh sb="7" eb="10">
      <t>ショウヒリョウ</t>
    </rPh>
    <rPh sb="12" eb="13">
      <t>テ</t>
    </rPh>
    <rPh sb="13" eb="15">
      <t>ニュウリョク</t>
    </rPh>
    <rPh sb="17" eb="19">
      <t>バアイ</t>
    </rPh>
    <rPh sb="20" eb="23">
      <t>ニュウリョクラン</t>
    </rPh>
    <phoneticPr fontId="1"/>
  </si>
  <si>
    <t>年間電力消費量を手入力</t>
    <rPh sb="0" eb="2">
      <t>ネンカン</t>
    </rPh>
    <rPh sb="2" eb="4">
      <t>デンリョク</t>
    </rPh>
    <rPh sb="4" eb="7">
      <t>ショウヒリョウ</t>
    </rPh>
    <rPh sb="8" eb="11">
      <t>テニュウリョク</t>
    </rPh>
    <phoneticPr fontId="1"/>
  </si>
  <si>
    <t>選択して自動計算</t>
    <rPh sb="0" eb="2">
      <t>センタク</t>
    </rPh>
    <rPh sb="4" eb="8">
      <t>ジドウケイサン</t>
    </rPh>
    <phoneticPr fontId="1"/>
  </si>
  <si>
    <t>kWh/年</t>
    <phoneticPr fontId="1"/>
  </si>
  <si>
    <t>年間電力消費量を手入力する
場合の入力欄</t>
    <rPh sb="0" eb="2">
      <t>ネンカン</t>
    </rPh>
    <rPh sb="2" eb="7">
      <t>デンリョクショウヒリョウ</t>
    </rPh>
    <rPh sb="8" eb="11">
      <t>テニュウリョク</t>
    </rPh>
    <rPh sb="14" eb="16">
      <t>バアイ</t>
    </rPh>
    <rPh sb="17" eb="20">
      <t>ニュウリョクラン</t>
    </rPh>
    <phoneticPr fontId="1"/>
  </si>
  <si>
    <r>
      <t>選択して自動計算の場合の
選択肢</t>
    </r>
    <r>
      <rPr>
        <sz val="10"/>
        <rFont val="Meiryo UI"/>
        <family val="3"/>
        <charset val="128"/>
      </rPr>
      <t>（数値の単位：GJ/年）</t>
    </r>
    <rPh sb="0" eb="2">
      <t>センタク</t>
    </rPh>
    <rPh sb="4" eb="8">
      <t>ジドウケイサン</t>
    </rPh>
    <rPh sb="9" eb="11">
      <t>バアイ</t>
    </rPh>
    <rPh sb="13" eb="16">
      <t>センタクシ</t>
    </rPh>
    <phoneticPr fontId="1"/>
  </si>
  <si>
    <r>
      <t xml:space="preserve">換気設備を選択して自動計算
の場合の選択肢
</t>
    </r>
    <r>
      <rPr>
        <sz val="10"/>
        <color theme="1"/>
        <rFont val="Meiryo UI"/>
        <family val="3"/>
        <charset val="128"/>
      </rPr>
      <t>（数値の単位：GJ/年）</t>
    </r>
    <rPh sb="0" eb="4">
      <t>カンキセツビ</t>
    </rPh>
    <rPh sb="5" eb="7">
      <t>センタク</t>
    </rPh>
    <rPh sb="9" eb="13">
      <t>ジドウケイサン</t>
    </rPh>
    <rPh sb="15" eb="17">
      <t>バアイ</t>
    </rPh>
    <rPh sb="18" eb="21">
      <t>センタクシ</t>
    </rPh>
    <rPh sb="23" eb="25">
      <t>スウチ</t>
    </rPh>
    <rPh sb="26" eb="28">
      <t>タンイ</t>
    </rPh>
    <phoneticPr fontId="1"/>
  </si>
  <si>
    <t>■冷蔵庫</t>
    <rPh sb="1" eb="4">
      <t>レイゾウコ</t>
    </rPh>
    <phoneticPr fontId="1"/>
  </si>
  <si>
    <t>■テレビ</t>
    <phoneticPr fontId="1"/>
  </si>
  <si>
    <t>■温水暖房便座</t>
    <rPh sb="1" eb="5">
      <t>オンスイダンボウ</t>
    </rPh>
    <rPh sb="5" eb="7">
      <t>ベンザ</t>
    </rPh>
    <phoneticPr fontId="1"/>
  </si>
  <si>
    <t>■その他の家電合計</t>
    <rPh sb="3" eb="4">
      <t>タ</t>
    </rPh>
    <rPh sb="5" eb="7">
      <t>カデン</t>
    </rPh>
    <rPh sb="7" eb="9">
      <t>ゴウケイ</t>
    </rPh>
    <phoneticPr fontId="1"/>
  </si>
  <si>
    <t>家電の使い方</t>
    <rPh sb="0" eb="2">
      <t>カデン</t>
    </rPh>
    <rPh sb="3" eb="4">
      <t>ツカ</t>
    </rPh>
    <rPh sb="5" eb="6">
      <t>カタ</t>
    </rPh>
    <phoneticPr fontId="1"/>
  </si>
  <si>
    <t>太陽光発電による総発電量・売電量の算定の方法</t>
    <rPh sb="0" eb="3">
      <t>タイヨウコウ</t>
    </rPh>
    <rPh sb="3" eb="5">
      <t>ハツデン</t>
    </rPh>
    <rPh sb="8" eb="9">
      <t>ソウ</t>
    </rPh>
    <rPh sb="9" eb="11">
      <t>ハツデン</t>
    </rPh>
    <rPh sb="11" eb="12">
      <t>リョウ</t>
    </rPh>
    <rPh sb="13" eb="15">
      <t>バイデン</t>
    </rPh>
    <rPh sb="15" eb="16">
      <t>リョウ</t>
    </rPh>
    <rPh sb="17" eb="19">
      <t>サンテイ</t>
    </rPh>
    <rPh sb="20" eb="22">
      <t>ホウホウ</t>
    </rPh>
    <phoneticPr fontId="1"/>
  </si>
  <si>
    <t>内容の入力</t>
    <rPh sb="0" eb="2">
      <t>ナイヨウ</t>
    </rPh>
    <rPh sb="3" eb="5">
      <t>ニュウリョク</t>
    </rPh>
    <phoneticPr fontId="1"/>
  </si>
  <si>
    <t>４）設置する太陽光発電についての入力を行い、右上の「計算」をクリックします</t>
    <rPh sb="2" eb="4">
      <t>セッチ</t>
    </rPh>
    <rPh sb="6" eb="11">
      <t>タイヨウコウハツデン</t>
    </rPh>
    <rPh sb="16" eb="18">
      <t>ニュウリョク</t>
    </rPh>
    <rPh sb="19" eb="20">
      <t>オコナ</t>
    </rPh>
    <rPh sb="22" eb="24">
      <t>ミギウエ</t>
    </rPh>
    <rPh sb="26" eb="28">
      <t>ケイサン</t>
    </rPh>
    <phoneticPr fontId="1"/>
  </si>
  <si>
    <t>４）他の入力は初期値のままにして、「太陽光」のタブをクリックし、「設置する」を選択します</t>
    <rPh sb="2" eb="3">
      <t>ホカ</t>
    </rPh>
    <rPh sb="4" eb="6">
      <t>ニュウリョク</t>
    </rPh>
    <rPh sb="7" eb="10">
      <t>ショキチ</t>
    </rPh>
    <rPh sb="18" eb="21">
      <t>タイヨウコウ</t>
    </rPh>
    <rPh sb="33" eb="35">
      <t>セッチ</t>
    </rPh>
    <rPh sb="39" eb="41">
      <t>センタク</t>
    </rPh>
    <phoneticPr fontId="1"/>
  </si>
  <si>
    <t>用途</t>
    <rPh sb="0" eb="2">
      <t>ヨウト</t>
    </rPh>
    <phoneticPr fontId="1"/>
  </si>
  <si>
    <t>AFTER/BEFORE</t>
    <phoneticPr fontId="1"/>
  </si>
  <si>
    <t>オール電化以外（電気ガス併用）</t>
    <rPh sb="3" eb="5">
      <t>デンカ</t>
    </rPh>
    <rPh sb="5" eb="7">
      <t>イガイ</t>
    </rPh>
    <phoneticPr fontId="1"/>
  </si>
  <si>
    <t>エアコン（2005年以降）</t>
    <rPh sb="9" eb="10">
      <t>ネン</t>
    </rPh>
    <rPh sb="10" eb="12">
      <t>イコウ</t>
    </rPh>
    <phoneticPr fontId="1"/>
  </si>
  <si>
    <t>シングルガラス</t>
  </si>
  <si>
    <t>シングルガラス</t>
    <phoneticPr fontId="1"/>
  </si>
  <si>
    <t>ペアガラス</t>
    <phoneticPr fontId="1"/>
  </si>
  <si>
    <t>Low-E取得</t>
    <rPh sb="5" eb="7">
      <t>シュトク</t>
    </rPh>
    <phoneticPr fontId="1"/>
  </si>
  <si>
    <t>Low-E遮蔽</t>
    <rPh sb="5" eb="7">
      <t>シャヘイ</t>
    </rPh>
    <phoneticPr fontId="1"/>
  </si>
  <si>
    <t>なし</t>
    <phoneticPr fontId="1"/>
  </si>
  <si>
    <t>レースカーテン</t>
    <phoneticPr fontId="1"/>
  </si>
  <si>
    <t>外付ブラインド等</t>
    <rPh sb="0" eb="2">
      <t>ソトヅ</t>
    </rPh>
    <rPh sb="7" eb="8">
      <t>トウ</t>
    </rPh>
    <phoneticPr fontId="1"/>
  </si>
  <si>
    <t>庇あり</t>
    <rPh sb="0" eb="1">
      <t>ヒサシ</t>
    </rPh>
    <phoneticPr fontId="1"/>
  </si>
  <si>
    <t>庇なし</t>
    <rPh sb="0" eb="1">
      <t>ヒサシ</t>
    </rPh>
    <phoneticPr fontId="1"/>
  </si>
  <si>
    <t>【庇なし】</t>
    <rPh sb="1" eb="2">
      <t>ヒサシ</t>
    </rPh>
    <phoneticPr fontId="1"/>
  </si>
  <si>
    <t>庇なしシングルガラスなし</t>
    <rPh sb="0" eb="1">
      <t>ヒサシ</t>
    </rPh>
    <phoneticPr fontId="1"/>
  </si>
  <si>
    <t>庇なしシングルガラスレースカーテン</t>
    <rPh sb="0" eb="1">
      <t>ヒサシ</t>
    </rPh>
    <phoneticPr fontId="1"/>
  </si>
  <si>
    <t>庇なしペアガラスなし</t>
    <rPh sb="0" eb="1">
      <t>ヒサシ</t>
    </rPh>
    <phoneticPr fontId="1"/>
  </si>
  <si>
    <t>庇なしペアガラスレースカーテン</t>
    <rPh sb="0" eb="1">
      <t>ヒサシ</t>
    </rPh>
    <phoneticPr fontId="1"/>
  </si>
  <si>
    <t>庇なしLow-E取得なし</t>
    <rPh sb="0" eb="1">
      <t>ヒサシ</t>
    </rPh>
    <phoneticPr fontId="1"/>
  </si>
  <si>
    <t>庇なしLow-E取得レースカーテン</t>
    <rPh sb="0" eb="1">
      <t>ヒサシ</t>
    </rPh>
    <phoneticPr fontId="1"/>
  </si>
  <si>
    <t>庇なしシングルガラス外付ブラインド等</t>
    <rPh sb="0" eb="1">
      <t>ヒサシ</t>
    </rPh>
    <phoneticPr fontId="1"/>
  </si>
  <si>
    <t>庇なしペアガラス外付ブラインド等</t>
    <rPh sb="0" eb="1">
      <t>ヒサシ</t>
    </rPh>
    <phoneticPr fontId="1"/>
  </si>
  <si>
    <t>庇なしLow-E取得外付ブラインド等</t>
    <rPh sb="0" eb="1">
      <t>ヒサシ</t>
    </rPh>
    <phoneticPr fontId="1"/>
  </si>
  <si>
    <t>庇なしLow-E遮蔽なし</t>
    <rPh sb="0" eb="1">
      <t>ヒサシ</t>
    </rPh>
    <rPh sb="8" eb="10">
      <t>シャヘイ</t>
    </rPh>
    <phoneticPr fontId="1"/>
  </si>
  <si>
    <t>庇なしLow-E遮蔽レースカーテン</t>
    <rPh sb="0" eb="1">
      <t>ヒサシ</t>
    </rPh>
    <rPh sb="8" eb="10">
      <t>シャヘイ</t>
    </rPh>
    <phoneticPr fontId="1"/>
  </si>
  <si>
    <t>庇なしLow-E遮蔽外付ブラインド等</t>
    <rPh sb="0" eb="1">
      <t>ヒサシ</t>
    </rPh>
    <rPh sb="8" eb="10">
      <t>シャヘイ</t>
    </rPh>
    <phoneticPr fontId="1"/>
  </si>
  <si>
    <t>庇ありシングルガラスなし</t>
    <rPh sb="0" eb="1">
      <t>ヒサシ</t>
    </rPh>
    <phoneticPr fontId="1"/>
  </si>
  <si>
    <t>庇ありシングルガラスレースカーテン</t>
    <rPh sb="0" eb="1">
      <t>ヒサシ</t>
    </rPh>
    <phoneticPr fontId="1"/>
  </si>
  <si>
    <t>庇ありシングルガラス外付ブラインド等</t>
    <rPh sb="0" eb="1">
      <t>ヒサシ</t>
    </rPh>
    <phoneticPr fontId="1"/>
  </si>
  <si>
    <t>庇ありペアガラスなし</t>
    <rPh sb="0" eb="1">
      <t>ヒサシ</t>
    </rPh>
    <phoneticPr fontId="1"/>
  </si>
  <si>
    <t>庇ありペアガラスレースカーテン</t>
    <rPh sb="0" eb="1">
      <t>ヒサシ</t>
    </rPh>
    <phoneticPr fontId="1"/>
  </si>
  <si>
    <t>庇ありペアガラス外付ブラインド等</t>
    <rPh sb="0" eb="1">
      <t>ヒサシ</t>
    </rPh>
    <phoneticPr fontId="1"/>
  </si>
  <si>
    <t>庇ありLow-E取得なし</t>
    <rPh sb="0" eb="1">
      <t>ヒサシ</t>
    </rPh>
    <phoneticPr fontId="1"/>
  </si>
  <si>
    <t>庇ありLow-E取得レースカーテン</t>
    <rPh sb="0" eb="1">
      <t>ヒサシ</t>
    </rPh>
    <phoneticPr fontId="1"/>
  </si>
  <si>
    <t>庇ありLow-E取得外付ブラインド等</t>
    <rPh sb="0" eb="1">
      <t>ヒサシ</t>
    </rPh>
    <phoneticPr fontId="1"/>
  </si>
  <si>
    <t>庇ありLow-E遮蔽なし</t>
    <rPh sb="0" eb="1">
      <t>ヒサシ</t>
    </rPh>
    <rPh sb="8" eb="10">
      <t>シャヘイ</t>
    </rPh>
    <phoneticPr fontId="1"/>
  </si>
  <si>
    <t>庇ありLow-E遮蔽レースカーテン</t>
    <rPh sb="0" eb="1">
      <t>ヒサシ</t>
    </rPh>
    <rPh sb="8" eb="10">
      <t>シャヘイ</t>
    </rPh>
    <phoneticPr fontId="1"/>
  </si>
  <si>
    <t>庇ありLow-E遮蔽外付ブラインド等</t>
    <rPh sb="0" eb="1">
      <t>ヒサシ</t>
    </rPh>
    <rPh sb="8" eb="10">
      <t>シャヘイ</t>
    </rPh>
    <phoneticPr fontId="1"/>
  </si>
  <si>
    <t>before選択</t>
    <rPh sb="6" eb="8">
      <t>センタク</t>
    </rPh>
    <phoneticPr fontId="1"/>
  </si>
  <si>
    <t>after選択</t>
    <rPh sb="5" eb="7">
      <t>センタク</t>
    </rPh>
    <phoneticPr fontId="1"/>
  </si>
  <si>
    <t>＜集まって暮らす＞</t>
    <rPh sb="1" eb="2">
      <t>アツ</t>
    </rPh>
    <rPh sb="5" eb="6">
      <t>ク</t>
    </rPh>
    <phoneticPr fontId="1"/>
  </si>
  <si>
    <t>集まって暮らす</t>
    <rPh sb="0" eb="1">
      <t>アツ</t>
    </rPh>
    <rPh sb="4" eb="5">
      <t>ク</t>
    </rPh>
    <phoneticPr fontId="1"/>
  </si>
  <si>
    <t>晴れた日には窓から日射を入れる</t>
    <rPh sb="0" eb="1">
      <t>ハ</t>
    </rPh>
    <rPh sb="3" eb="4">
      <t>ヒ</t>
    </rPh>
    <rPh sb="6" eb="7">
      <t>マド</t>
    </rPh>
    <rPh sb="9" eb="11">
      <t>ニッシャ</t>
    </rPh>
    <rPh sb="12" eb="13">
      <t>イ</t>
    </rPh>
    <phoneticPr fontId="1"/>
  </si>
  <si>
    <t>暖房設定温度（着衣の工夫）</t>
    <rPh sb="0" eb="2">
      <t>ダンボウ</t>
    </rPh>
    <rPh sb="2" eb="4">
      <t>セッテイ</t>
    </rPh>
    <rPh sb="4" eb="6">
      <t>オンド</t>
    </rPh>
    <rPh sb="7" eb="9">
      <t>チャクイ</t>
    </rPh>
    <rPh sb="10" eb="12">
      <t>クフウ</t>
    </rPh>
    <phoneticPr fontId="1"/>
  </si>
  <si>
    <t>＜暖房設定温度＞</t>
    <rPh sb="1" eb="3">
      <t>ダンボウ</t>
    </rPh>
    <rPh sb="3" eb="5">
      <t>セッテイ</t>
    </rPh>
    <rPh sb="5" eb="7">
      <t>オンド</t>
    </rPh>
    <phoneticPr fontId="1"/>
  </si>
  <si>
    <t>24℃</t>
    <phoneticPr fontId="1"/>
  </si>
  <si>
    <t>20℃</t>
    <phoneticPr fontId="1"/>
  </si>
  <si>
    <t>18℃</t>
    <phoneticPr fontId="1"/>
  </si>
  <si>
    <t xml:space="preserve">   窓の日除け</t>
    <rPh sb="3" eb="4">
      <t>マド</t>
    </rPh>
    <rPh sb="5" eb="7">
      <t>ヒヨ</t>
    </rPh>
    <phoneticPr fontId="1"/>
  </si>
  <si>
    <t>小～中程度の２つの窓で風を通す</t>
    <rPh sb="0" eb="1">
      <t>ショウ</t>
    </rPh>
    <rPh sb="2" eb="3">
      <t>チュウ</t>
    </rPh>
    <rPh sb="3" eb="5">
      <t>テイド</t>
    </rPh>
    <rPh sb="9" eb="10">
      <t>マド</t>
    </rPh>
    <rPh sb="11" eb="12">
      <t>カゼ</t>
    </rPh>
    <rPh sb="13" eb="14">
      <t>トオ</t>
    </rPh>
    <phoneticPr fontId="1"/>
  </si>
  <si>
    <t>２つの掃出し窓で風を通す</t>
    <rPh sb="3" eb="5">
      <t>ハキダ</t>
    </rPh>
    <rPh sb="6" eb="7">
      <t>マド</t>
    </rPh>
    <rPh sb="8" eb="9">
      <t>カゼ</t>
    </rPh>
    <rPh sb="10" eb="11">
      <t>トオ</t>
    </rPh>
    <phoneticPr fontId="1"/>
  </si>
  <si>
    <t>冷房設定温度</t>
    <rPh sb="0" eb="2">
      <t>レイボウ</t>
    </rPh>
    <rPh sb="2" eb="4">
      <t>セッテイ</t>
    </rPh>
    <rPh sb="4" eb="6">
      <t>オンド</t>
    </rPh>
    <phoneticPr fontId="1"/>
  </si>
  <si>
    <t>寝るまでの夜間に子供がリビングやダイニングで過ごす</t>
    <rPh sb="0" eb="1">
      <t>ネ</t>
    </rPh>
    <rPh sb="5" eb="7">
      <t>ヤカン</t>
    </rPh>
    <rPh sb="8" eb="10">
      <t>コドモ</t>
    </rPh>
    <rPh sb="22" eb="23">
      <t>ス</t>
    </rPh>
    <phoneticPr fontId="1"/>
  </si>
  <si>
    <t>26℃</t>
    <phoneticPr fontId="1"/>
  </si>
  <si>
    <t>27℃</t>
    <phoneticPr fontId="1"/>
  </si>
  <si>
    <t>29℃</t>
    <phoneticPr fontId="1"/>
  </si>
  <si>
    <t>エアコンの選択と扇風機の活用</t>
    <rPh sb="5" eb="7">
      <t>センタク</t>
    </rPh>
    <rPh sb="8" eb="11">
      <t>センプウキ</t>
    </rPh>
    <rPh sb="12" eb="14">
      <t>カツヨウ</t>
    </rPh>
    <phoneticPr fontId="1"/>
  </si>
  <si>
    <t>エアコン（2005年以前）＋扇風機</t>
    <rPh sb="9" eb="10">
      <t>ネン</t>
    </rPh>
    <rPh sb="10" eb="12">
      <t>イゼン</t>
    </rPh>
    <rPh sb="14" eb="17">
      <t>センプウキ</t>
    </rPh>
    <phoneticPr fontId="1"/>
  </si>
  <si>
    <t>エアコン（2005年以降）＋扇風機</t>
    <rPh sb="9" eb="10">
      <t>ネン</t>
    </rPh>
    <rPh sb="10" eb="12">
      <t>イコウ</t>
    </rPh>
    <phoneticPr fontId="1"/>
  </si>
  <si>
    <t>扇風機のみ</t>
    <rPh sb="0" eb="3">
      <t>センプウキ</t>
    </rPh>
    <phoneticPr fontId="1"/>
  </si>
  <si>
    <t>←2011年以降</t>
    <rPh sb="5" eb="6">
      <t>ネン</t>
    </rPh>
    <rPh sb="6" eb="8">
      <t>イコウ</t>
    </rPh>
    <phoneticPr fontId="1"/>
  </si>
  <si>
    <t>←1995年～2000年</t>
    <rPh sb="5" eb="6">
      <t>ネン</t>
    </rPh>
    <rPh sb="11" eb="12">
      <t>ネン</t>
    </rPh>
    <phoneticPr fontId="1"/>
  </si>
  <si>
    <t>2001年～2010年の製品</t>
    <rPh sb="4" eb="5">
      <t>ネン</t>
    </rPh>
    <rPh sb="10" eb="11">
      <t>ネン</t>
    </rPh>
    <rPh sb="12" eb="14">
      <t>セイヒン</t>
    </rPh>
    <phoneticPr fontId="1"/>
  </si>
  <si>
    <t>自立入門</t>
    <rPh sb="0" eb="2">
      <t>ジリツ</t>
    </rPh>
    <rPh sb="2" eb="4">
      <t>ニュウモン</t>
    </rPh>
    <phoneticPr fontId="1"/>
  </si>
  <si>
    <t>←2011年～2010年</t>
    <rPh sb="5" eb="6">
      <t>ネン</t>
    </rPh>
    <rPh sb="11" eb="12">
      <t>ネン</t>
    </rPh>
    <phoneticPr fontId="1"/>
  </si>
  <si>
    <t>28V</t>
    <phoneticPr fontId="1"/>
  </si>
  <si>
    <t>少し多め</t>
    <rPh sb="0" eb="1">
      <t>スコ</t>
    </rPh>
    <rPh sb="2" eb="3">
      <t>オオ</t>
    </rPh>
    <phoneticPr fontId="1"/>
  </si>
  <si>
    <t>選択都市の既存住宅平均値</t>
    <rPh sb="0" eb="2">
      <t>センタク</t>
    </rPh>
    <rPh sb="2" eb="4">
      <t>トシ</t>
    </rPh>
    <rPh sb="5" eb="9">
      <t>キゾンジュウタク</t>
    </rPh>
    <rPh sb="9" eb="12">
      <t>ヘイキンチ</t>
    </rPh>
    <phoneticPr fontId="1"/>
  </si>
  <si>
    <t>このツールは『暮らし省エネマイスターテキスト（第4版）』の内容に基づき、家庭の省エネに向かう工夫の効果を計算するものです。</t>
    <rPh sb="7" eb="8">
      <t>ク</t>
    </rPh>
    <rPh sb="10" eb="11">
      <t>ショウ</t>
    </rPh>
    <rPh sb="23" eb="24">
      <t>ダイ</t>
    </rPh>
    <rPh sb="25" eb="26">
      <t>ハン</t>
    </rPh>
    <rPh sb="29" eb="31">
      <t>ナイヨウ</t>
    </rPh>
    <rPh sb="32" eb="33">
      <t>モト</t>
    </rPh>
    <rPh sb="36" eb="38">
      <t>カテイ</t>
    </rPh>
    <rPh sb="39" eb="40">
      <t>ショウ</t>
    </rPh>
    <rPh sb="43" eb="44">
      <t>ム</t>
    </rPh>
    <rPh sb="46" eb="48">
      <t>クフウ</t>
    </rPh>
    <rPh sb="49" eb="51">
      <t>コウカ</t>
    </rPh>
    <rPh sb="52" eb="54">
      <t>ケイサン</t>
    </rPh>
    <phoneticPr fontId="1"/>
  </si>
  <si>
    <t>『暮らし省エネマイスターテキスト（第4版）』では提示されていない電力消費量や光熱費も計算できるようになっています。</t>
    <rPh sb="24" eb="26">
      <t>テイジ</t>
    </rPh>
    <rPh sb="32" eb="37">
      <t>デンリョクショウヒリョウ</t>
    </rPh>
    <rPh sb="38" eb="41">
      <t>コウネツヒ</t>
    </rPh>
    <rPh sb="42" eb="44">
      <t>ケイサン</t>
    </rPh>
    <phoneticPr fontId="1"/>
  </si>
  <si>
    <t>BEFORE</t>
  </si>
  <si>
    <t>AFTER</t>
    <phoneticPr fontId="1"/>
  </si>
  <si>
    <t>電力消費量合計</t>
    <rPh sb="0" eb="2">
      <t>デンリョク</t>
    </rPh>
    <rPh sb="2" eb="5">
      <t>ショウヒリョウ</t>
    </rPh>
    <rPh sb="5" eb="7">
      <t>ゴウケイ</t>
    </rPh>
    <phoneticPr fontId="1"/>
  </si>
  <si>
    <t>一次ネルギー消費量合計</t>
    <rPh sb="0" eb="2">
      <t>イチジ</t>
    </rPh>
    <rPh sb="6" eb="9">
      <t>ショウヒリョウ</t>
    </rPh>
    <rPh sb="9" eb="11">
      <t>ゴウケイ</t>
    </rPh>
    <phoneticPr fontId="1"/>
  </si>
  <si>
    <t>光熱費合計</t>
    <rPh sb="0" eb="3">
      <t>コウネツヒ</t>
    </rPh>
    <rPh sb="3" eb="5">
      <t>ゴウケイ</t>
    </rPh>
    <phoneticPr fontId="1"/>
  </si>
  <si>
    <t>＜発電＞</t>
    <rPh sb="1" eb="3">
      <t>ハツデン</t>
    </rPh>
    <phoneticPr fontId="1"/>
  </si>
  <si>
    <t>before</t>
  </si>
  <si>
    <t>after</t>
  </si>
  <si>
    <t>発電量</t>
    <rPh sb="0" eb="3">
      <t>ハツデンリョウ</t>
    </rPh>
    <phoneticPr fontId="1"/>
  </si>
  <si>
    <t>発電量</t>
    <rPh sb="0" eb="3">
      <t>ハツデンリョウ</t>
    </rPh>
    <phoneticPr fontId="1"/>
  </si>
  <si>
    <t>傾き</t>
    <rPh sb="0" eb="1">
      <t>カタム</t>
    </rPh>
    <phoneticPr fontId="1"/>
  </si>
  <si>
    <t>消費量</t>
    <rPh sb="0" eb="3">
      <t>ショウヒリョウ</t>
    </rPh>
    <phoneticPr fontId="1"/>
  </si>
  <si>
    <t>買電量</t>
    <rPh sb="0" eb="1">
      <t>カ</t>
    </rPh>
    <rPh sb="1" eb="2">
      <t>デン</t>
    </rPh>
    <rPh sb="2" eb="3">
      <t>リョウ</t>
    </rPh>
    <phoneticPr fontId="1"/>
  </si>
  <si>
    <t>消費量</t>
    <rPh sb="0" eb="3">
      <t>ショウヒリョウ</t>
    </rPh>
    <phoneticPr fontId="1"/>
  </si>
  <si>
    <t>自家消費量</t>
    <rPh sb="0" eb="2">
      <t>ジカ</t>
    </rPh>
    <rPh sb="2" eb="4">
      <t>ショウヒ</t>
    </rPh>
    <rPh sb="4" eb="5">
      <t>リョウ</t>
    </rPh>
    <phoneticPr fontId="1"/>
  </si>
  <si>
    <t>売電</t>
    <rPh sb="0" eb="2">
      <t>バイデン</t>
    </rPh>
    <phoneticPr fontId="1"/>
  </si>
  <si>
    <t>売電する場合の電気代削減額の計算</t>
    <rPh sb="0" eb="2">
      <t>バイデン</t>
    </rPh>
    <rPh sb="4" eb="6">
      <t>バアイ</t>
    </rPh>
    <rPh sb="7" eb="10">
      <t>デンキダイ</t>
    </rPh>
    <rPh sb="10" eb="13">
      <t>サクゲンガク</t>
    </rPh>
    <rPh sb="14" eb="16">
      <t>ケイサン</t>
    </rPh>
    <phoneticPr fontId="1"/>
  </si>
  <si>
    <t>削減額</t>
    <rPh sb="0" eb="3">
      <t>サクゲンガク</t>
    </rPh>
    <phoneticPr fontId="1"/>
  </si>
  <si>
    <t>削減額合計</t>
    <rPh sb="0" eb="3">
      <t>サクゲンガク</t>
    </rPh>
    <rPh sb="3" eb="5">
      <t>ゴウケイ</t>
    </rPh>
    <phoneticPr fontId="1"/>
  </si>
  <si>
    <t>売電しない場合の電気代削減額の計算</t>
    <rPh sb="0" eb="2">
      <t>バイデン</t>
    </rPh>
    <rPh sb="5" eb="7">
      <t>バアイ</t>
    </rPh>
    <rPh sb="8" eb="11">
      <t>デンキダイ</t>
    </rPh>
    <rPh sb="11" eb="13">
      <t>サクゲン</t>
    </rPh>
    <rPh sb="13" eb="14">
      <t>ガク</t>
    </rPh>
    <rPh sb="15" eb="17">
      <t>ケイサン</t>
    </rPh>
    <phoneticPr fontId="1"/>
  </si>
  <si>
    <t>削減前光熱費</t>
    <rPh sb="0" eb="2">
      <t>サクゲン</t>
    </rPh>
    <rPh sb="2" eb="3">
      <t>マエ</t>
    </rPh>
    <rPh sb="3" eb="6">
      <t>コウネツヒ</t>
    </rPh>
    <phoneticPr fontId="1"/>
  </si>
  <si>
    <t>結果</t>
    <rPh sb="0" eb="2">
      <t>ケッカ</t>
    </rPh>
    <phoneticPr fontId="1"/>
  </si>
  <si>
    <t>結果判定</t>
    <rPh sb="0" eb="2">
      <t>ケッカ</t>
    </rPh>
    <rPh sb="2" eb="4">
      <t>ハンテイ</t>
    </rPh>
    <phoneticPr fontId="1"/>
  </si>
  <si>
    <t>７）出力されたPDFの最後（赤枠）にある数値を、上の「発電量」のところに入力します</t>
    <rPh sb="2" eb="4">
      <t>シュツリョク</t>
    </rPh>
    <rPh sb="11" eb="13">
      <t>サイゴ</t>
    </rPh>
    <rPh sb="14" eb="16">
      <t>アカワク</t>
    </rPh>
    <rPh sb="20" eb="22">
      <t>スウチ</t>
    </rPh>
    <rPh sb="24" eb="25">
      <t>ウエ</t>
    </rPh>
    <rPh sb="27" eb="29">
      <t>ハツデン</t>
    </rPh>
    <rPh sb="29" eb="30">
      <t>リョウ</t>
    </rPh>
    <rPh sb="36" eb="38">
      <t>ニュウリョク</t>
    </rPh>
    <phoneticPr fontId="1"/>
  </si>
  <si>
    <t>なお、各用途の工夫においては、表示の複雑さを避けるために、一次エネルギー消費量のみが提示され、電力消費量は提示されていません。「合計」のシートを見てください。</t>
    <rPh sb="3" eb="4">
      <t>カク</t>
    </rPh>
    <rPh sb="4" eb="6">
      <t>ヨウト</t>
    </rPh>
    <rPh sb="7" eb="9">
      <t>クフウ</t>
    </rPh>
    <rPh sb="15" eb="17">
      <t>ヒョウジ</t>
    </rPh>
    <rPh sb="18" eb="20">
      <t>フクザツ</t>
    </rPh>
    <rPh sb="22" eb="23">
      <t>サ</t>
    </rPh>
    <rPh sb="29" eb="31">
      <t>イチジ</t>
    </rPh>
    <rPh sb="36" eb="39">
      <t>ショウヒリョウ</t>
    </rPh>
    <rPh sb="42" eb="44">
      <t>テイジ</t>
    </rPh>
    <rPh sb="47" eb="49">
      <t>デンリョク</t>
    </rPh>
    <rPh sb="49" eb="52">
      <t>ショウヒリョウ</t>
    </rPh>
    <rPh sb="53" eb="55">
      <t>テイジ</t>
    </rPh>
    <rPh sb="64" eb="66">
      <t>ゴウケイ</t>
    </rPh>
    <rPh sb="72" eb="73">
      <t>ミ</t>
    </rPh>
    <phoneticPr fontId="1"/>
  </si>
  <si>
    <t>蓄電池は導入せず、余剰電力を売電する</t>
  </si>
  <si>
    <t>蓄電池を導入し、発電分をすべて自家消費する</t>
    <rPh sb="0" eb="3">
      <t>チクデンチ</t>
    </rPh>
    <rPh sb="4" eb="6">
      <t>ドウニュウ</t>
    </rPh>
    <rPh sb="8" eb="10">
      <t>ハツデン</t>
    </rPh>
    <rPh sb="10" eb="11">
      <t>ブン</t>
    </rPh>
    <rPh sb="15" eb="19">
      <t>ジカショウヒ</t>
    </rPh>
    <phoneticPr fontId="1"/>
  </si>
  <si>
    <t xml:space="preserve">   蓄熱性</t>
    <rPh sb="3" eb="6">
      <t>チクネツセイ</t>
    </rPh>
    <phoneticPr fontId="1"/>
  </si>
  <si>
    <t>＜例＞暖房において「エアコン（2005年以降）」だけの効果を見たいとき</t>
    <rPh sb="1" eb="2">
      <t>レイ</t>
    </rPh>
    <rPh sb="3" eb="5">
      <t>ダンボウ</t>
    </rPh>
    <rPh sb="19" eb="20">
      <t>ネン</t>
    </rPh>
    <rPh sb="20" eb="22">
      <t>イコウ</t>
    </rPh>
    <rPh sb="27" eb="29">
      <t>コウカ</t>
    </rPh>
    <rPh sb="30" eb="31">
      <t>ミ</t>
    </rPh>
    <phoneticPr fontId="1"/>
  </si>
  <si>
    <t>工夫の単独の効果を見たい場合は、次のように入力してください。</t>
    <rPh sb="0" eb="2">
      <t>クフウ</t>
    </rPh>
    <rPh sb="3" eb="5">
      <t>タンドク</t>
    </rPh>
    <rPh sb="6" eb="8">
      <t>コウカ</t>
    </rPh>
    <rPh sb="9" eb="10">
      <t>ミ</t>
    </rPh>
    <rPh sb="12" eb="14">
      <t>バアイ</t>
    </rPh>
    <rPh sb="16" eb="17">
      <t>ツギ</t>
    </rPh>
    <rPh sb="21" eb="23">
      <t>ニュウリョク</t>
    </rPh>
    <phoneticPr fontId="1"/>
  </si>
  <si>
    <t>適切な入力を行うためには『暮らし省エネマイスターテキスト（第4版）』の理解が必要です。</t>
    <rPh sb="0" eb="2">
      <t>テキセツ</t>
    </rPh>
    <rPh sb="3" eb="5">
      <t>ニュウリョク</t>
    </rPh>
    <rPh sb="6" eb="7">
      <t>オコナ</t>
    </rPh>
    <rPh sb="35" eb="37">
      <t>リカイ</t>
    </rPh>
    <rPh sb="38" eb="40">
      <t>ヒツヨウ</t>
    </rPh>
    <phoneticPr fontId="24"/>
  </si>
  <si>
    <t>このテキストをしっかり読みながら入力してください。</t>
    <rPh sb="11" eb="12">
      <t>ヨ</t>
    </rPh>
    <rPh sb="16" eb="18">
      <t>ニュウリョク</t>
    </rPh>
    <phoneticPr fontId="24"/>
  </si>
  <si>
    <t>計算シートにおいてバグと思われる現象に気がついた方はぜひ下記までご連絡ください。</t>
    <rPh sb="0" eb="2">
      <t>ケイサン</t>
    </rPh>
    <rPh sb="12" eb="13">
      <t>オモ</t>
    </rPh>
    <rPh sb="16" eb="18">
      <t>ゲンショウ</t>
    </rPh>
    <rPh sb="19" eb="20">
      <t>キ</t>
    </rPh>
    <rPh sb="24" eb="25">
      <t>カタ</t>
    </rPh>
    <rPh sb="28" eb="30">
      <t>カキ</t>
    </rPh>
    <rPh sb="33" eb="35">
      <t>レンラク</t>
    </rPh>
    <phoneticPr fontId="24"/>
  </si>
  <si>
    <t>S55基準レベル＜標準＞</t>
    <rPh sb="3" eb="5">
      <t>キジュン</t>
    </rPh>
    <rPh sb="9" eb="11">
      <t>ヒョウジュン</t>
    </rPh>
    <phoneticPr fontId="1"/>
  </si>
  <si>
    <t>エアコン（2005年以前）＜標準＞</t>
    <rPh sb="9" eb="10">
      <t>ネン</t>
    </rPh>
    <rPh sb="10" eb="12">
      <t>イゼン</t>
    </rPh>
    <rPh sb="14" eb="16">
      <t>ヒョウジュン</t>
    </rPh>
    <phoneticPr fontId="1"/>
  </si>
  <si>
    <t>晴れた日でもレースカーテンなどを閉める＜標準＞</t>
    <rPh sb="0" eb="1">
      <t>ハ</t>
    </rPh>
    <rPh sb="3" eb="4">
      <t>ヒ</t>
    </rPh>
    <rPh sb="16" eb="17">
      <t>シ</t>
    </rPh>
    <rPh sb="20" eb="22">
      <t>ヒョウジュン</t>
    </rPh>
    <phoneticPr fontId="1"/>
  </si>
  <si>
    <t>なし＜標準＞</t>
    <rPh sb="3" eb="5">
      <t>ヒョウジュン</t>
    </rPh>
    <phoneticPr fontId="1"/>
  </si>
  <si>
    <t>寝るまでの夜間に子供が個室で過ごす＜標準＞</t>
    <rPh sb="0" eb="1">
      <t>ネ</t>
    </rPh>
    <rPh sb="5" eb="7">
      <t>ヤカン</t>
    </rPh>
    <rPh sb="8" eb="10">
      <t>コドモ</t>
    </rPh>
    <rPh sb="11" eb="13">
      <t>コシツ</t>
    </rPh>
    <rPh sb="14" eb="15">
      <t>ス</t>
    </rPh>
    <rPh sb="18" eb="20">
      <t>ヒョウジュン</t>
    </rPh>
    <phoneticPr fontId="1"/>
  </si>
  <si>
    <t>22℃＜標準＞</t>
    <rPh sb="4" eb="6">
      <t>ヒョウジュン</t>
    </rPh>
    <phoneticPr fontId="1"/>
  </si>
  <si>
    <t>評価なし＜標準＞</t>
    <rPh sb="0" eb="2">
      <t>ヒョウカ</t>
    </rPh>
    <rPh sb="5" eb="7">
      <t>ヒョウジュン</t>
    </rPh>
    <phoneticPr fontId="1"/>
  </si>
  <si>
    <t>悪い/風を通さない＜標準＞</t>
    <rPh sb="0" eb="1">
      <t>ワル</t>
    </rPh>
    <rPh sb="3" eb="4">
      <t>カゼ</t>
    </rPh>
    <rPh sb="5" eb="6">
      <t>トオ</t>
    </rPh>
    <rPh sb="10" eb="12">
      <t>ヒョウジュン</t>
    </rPh>
    <phoneticPr fontId="1"/>
  </si>
  <si>
    <t>28℃＜標準＞</t>
    <rPh sb="4" eb="6">
      <t>ヒョウジュン</t>
    </rPh>
    <phoneticPr fontId="1"/>
  </si>
  <si>
    <t>レースカーテン</t>
  </si>
  <si>
    <t>従来型都市ガス給湯器＜標準＞</t>
    <rPh sb="0" eb="3">
      <t>ジュウライガタ</t>
    </rPh>
    <rPh sb="3" eb="5">
      <t>トシ</t>
    </rPh>
    <rPh sb="7" eb="10">
      <t>キュウトウキ</t>
    </rPh>
    <rPh sb="11" eb="13">
      <t>ヒョウジュン</t>
    </rPh>
    <phoneticPr fontId="1"/>
  </si>
  <si>
    <t>従来型LPガス給湯器＜標準＞</t>
    <rPh sb="0" eb="3">
      <t>ジュウライガタ</t>
    </rPh>
    <rPh sb="7" eb="10">
      <t>キュウトウキ</t>
    </rPh>
    <rPh sb="11" eb="13">
      <t>ヒョウジュン</t>
    </rPh>
    <phoneticPr fontId="1"/>
  </si>
  <si>
    <t>従来型灯油給湯器＜標準＞</t>
    <rPh sb="0" eb="3">
      <t>ジュウライガタ</t>
    </rPh>
    <rPh sb="3" eb="5">
      <t>トウユ</t>
    </rPh>
    <rPh sb="5" eb="8">
      <t>キュトウキ</t>
    </rPh>
    <rPh sb="9" eb="11">
      <t>ヒョウジュン</t>
    </rPh>
    <phoneticPr fontId="1"/>
  </si>
  <si>
    <t>あり</t>
    <phoneticPr fontId="1"/>
  </si>
  <si>
    <t>なし</t>
    <phoneticPr fontId="1"/>
  </si>
  <si>
    <t>一般＜標準＞</t>
    <rPh sb="0" eb="2">
      <t>イッパン</t>
    </rPh>
    <rPh sb="3" eb="5">
      <t>ヒョウジュン</t>
    </rPh>
    <phoneticPr fontId="1"/>
  </si>
  <si>
    <t>一般蛍光灯＜標準＞</t>
    <rPh sb="0" eb="2">
      <t>イッパン</t>
    </rPh>
    <rPh sb="2" eb="5">
      <t>ケイコウトウ</t>
    </rPh>
    <rPh sb="6" eb="8">
      <t>ヒョウジュン</t>
    </rPh>
    <phoneticPr fontId="1"/>
  </si>
  <si>
    <t>難しい/実行していない＜標準＞</t>
    <rPh sb="0" eb="1">
      <t>ムツカ</t>
    </rPh>
    <rPh sb="4" eb="6">
      <t>ジッコウ</t>
    </rPh>
    <rPh sb="12" eb="14">
      <t>ヒョウジュン</t>
    </rPh>
    <phoneticPr fontId="1"/>
  </si>
  <si>
    <t>局所のみ＜標準＞</t>
    <rPh sb="0" eb="2">
      <t>キョクショ</t>
    </rPh>
    <rPh sb="5" eb="7">
      <t>ヒョウジュン</t>
    </rPh>
    <phoneticPr fontId="1"/>
  </si>
  <si>
    <t>IHコンロ</t>
  </si>
  <si>
    <r>
      <t xml:space="preserve"> 選択都市</t>
    </r>
    <r>
      <rPr>
        <sz val="7"/>
        <color theme="1"/>
        <rFont val="Meiryo UI"/>
        <family val="3"/>
        <charset val="128"/>
      </rPr>
      <t>（1985家族判定のために入力します）</t>
    </r>
    <rPh sb="1" eb="3">
      <t>センタク</t>
    </rPh>
    <rPh sb="3" eb="5">
      <t>トシ</t>
    </rPh>
    <phoneticPr fontId="1"/>
  </si>
  <si>
    <t>オール電化住宅の場合に必須となります。</t>
    <rPh sb="3" eb="5">
      <t>デンカ</t>
    </rPh>
    <rPh sb="5" eb="7">
      <t>ジュウタク</t>
    </rPh>
    <rPh sb="8" eb="10">
      <t>バアイ</t>
    </rPh>
    <rPh sb="11" eb="13">
      <t>ヒッス</t>
    </rPh>
    <phoneticPr fontId="1"/>
  </si>
  <si>
    <t>光熱費の計算に必須となります。</t>
    <rPh sb="0" eb="3">
      <t>コウネツヒ</t>
    </rPh>
    <rPh sb="4" eb="6">
      <t>ケイサン</t>
    </rPh>
    <rPh sb="7" eb="9">
      <t>ヒッス</t>
    </rPh>
    <phoneticPr fontId="1"/>
  </si>
  <si>
    <t>暖房、給湯、コンロに都市ガスを使う場合の光熱費計算に必須となります。</t>
    <rPh sb="0" eb="2">
      <t>ダンボウ</t>
    </rPh>
    <rPh sb="3" eb="5">
      <t>キュウトウ</t>
    </rPh>
    <rPh sb="10" eb="12">
      <t>トシ</t>
    </rPh>
    <rPh sb="15" eb="16">
      <t>ツカ</t>
    </rPh>
    <rPh sb="17" eb="19">
      <t>バアイ</t>
    </rPh>
    <rPh sb="20" eb="23">
      <t>コウネツヒ</t>
    </rPh>
    <rPh sb="23" eb="25">
      <t>ケイサン</t>
    </rPh>
    <rPh sb="26" eb="28">
      <t>ヒッス</t>
    </rPh>
    <phoneticPr fontId="1"/>
  </si>
  <si>
    <t>暖房、給湯、コンロにLPガスを使う場合の光熱費計算に必須となります。</t>
    <rPh sb="0" eb="2">
      <t>ダンボウ</t>
    </rPh>
    <rPh sb="3" eb="5">
      <t>キュウトウ</t>
    </rPh>
    <rPh sb="15" eb="16">
      <t>ツカ</t>
    </rPh>
    <rPh sb="17" eb="19">
      <t>バアイ</t>
    </rPh>
    <rPh sb="20" eb="23">
      <t>コウネツヒ</t>
    </rPh>
    <rPh sb="23" eb="25">
      <t>ケイサン</t>
    </rPh>
    <rPh sb="26" eb="28">
      <t>ヒッス</t>
    </rPh>
    <phoneticPr fontId="1"/>
  </si>
  <si>
    <t>暖房、給湯に灯油を使う場合の光熱費計算に必須となります。</t>
    <rPh sb="0" eb="2">
      <t>ダンボウ</t>
    </rPh>
    <rPh sb="3" eb="5">
      <t>キュウトウ</t>
    </rPh>
    <rPh sb="6" eb="8">
      <t>トウユ</t>
    </rPh>
    <rPh sb="9" eb="10">
      <t>ツカ</t>
    </rPh>
    <rPh sb="11" eb="13">
      <t>バアイ</t>
    </rPh>
    <rPh sb="14" eb="17">
      <t>コウネツヒ</t>
    </rPh>
    <rPh sb="17" eb="19">
      <t>ケイサン</t>
    </rPh>
    <rPh sb="20" eb="22">
      <t>ヒッス</t>
    </rPh>
    <phoneticPr fontId="1"/>
  </si>
  <si>
    <t>暖房に薪ストーブを使う場合の光熱費計算に必須となります。</t>
    <rPh sb="0" eb="2">
      <t>ダンボウ</t>
    </rPh>
    <rPh sb="3" eb="4">
      <t>マキ</t>
    </rPh>
    <rPh sb="9" eb="10">
      <t>ツカ</t>
    </rPh>
    <rPh sb="11" eb="13">
      <t>バアイ</t>
    </rPh>
    <rPh sb="14" eb="17">
      <t>コウネツヒ</t>
    </rPh>
    <rPh sb="17" eb="19">
      <t>ケイサン</t>
    </rPh>
    <rPh sb="20" eb="22">
      <t>ヒッス</t>
    </rPh>
    <phoneticPr fontId="1"/>
  </si>
  <si>
    <t>暖房にペレットストーブを使う場合の光熱費計算に必須となります。</t>
    <rPh sb="0" eb="2">
      <t>ダンボウ</t>
    </rPh>
    <rPh sb="12" eb="13">
      <t>ツカ</t>
    </rPh>
    <rPh sb="14" eb="16">
      <t>バアイ</t>
    </rPh>
    <rPh sb="17" eb="20">
      <t>コウネツヒ</t>
    </rPh>
    <rPh sb="20" eb="22">
      <t>ケイサン</t>
    </rPh>
    <rPh sb="23" eb="25">
      <t>ヒッス</t>
    </rPh>
    <phoneticPr fontId="1"/>
  </si>
  <si>
    <t>備考</t>
    <rPh sb="0" eb="2">
      <t>ビコウ</t>
    </rPh>
    <phoneticPr fontId="1"/>
  </si>
  <si>
    <t>・各省エネ基準レベルのQ値については、テキスト37ページを参照</t>
    <rPh sb="1" eb="2">
      <t>カク</t>
    </rPh>
    <rPh sb="2" eb="3">
      <t>ショウ</t>
    </rPh>
    <rPh sb="5" eb="7">
      <t>キジュン</t>
    </rPh>
    <rPh sb="11" eb="13">
      <t>q</t>
    </rPh>
    <rPh sb="29" eb="31">
      <t>サンショウ</t>
    </rPh>
    <phoneticPr fontId="1"/>
  </si>
  <si>
    <t>・「H11年（H28年）基準レベルの1.5倍程度」とは、各地域別のQ値、UA値の基準値を1.5で割り算した数値程度を満たしている住宅</t>
    <rPh sb="5" eb="6">
      <t>ネン</t>
    </rPh>
    <rPh sb="10" eb="11">
      <t>ネン</t>
    </rPh>
    <rPh sb="12" eb="14">
      <t>キジュン</t>
    </rPh>
    <rPh sb="21" eb="22">
      <t>バイ</t>
    </rPh>
    <rPh sb="22" eb="24">
      <t>テイド</t>
    </rPh>
    <rPh sb="28" eb="29">
      <t>カク</t>
    </rPh>
    <rPh sb="29" eb="32">
      <t>チイキベツ</t>
    </rPh>
    <rPh sb="33" eb="35">
      <t>q</t>
    </rPh>
    <rPh sb="38" eb="39">
      <t>チ</t>
    </rPh>
    <rPh sb="40" eb="43">
      <t>キジュンチ</t>
    </rPh>
    <rPh sb="48" eb="49">
      <t>ワ</t>
    </rPh>
    <rPh sb="50" eb="51">
      <t>ザン</t>
    </rPh>
    <rPh sb="53" eb="55">
      <t>スウチ</t>
    </rPh>
    <rPh sb="55" eb="57">
      <t>テイド</t>
    </rPh>
    <rPh sb="58" eb="59">
      <t>ミ</t>
    </rPh>
    <rPh sb="64" eb="66">
      <t>ジュウタク</t>
    </rPh>
    <phoneticPr fontId="1"/>
  </si>
  <si>
    <t>・家全体の窓の半分程度に設置して使うという設定</t>
    <rPh sb="1" eb="2">
      <t>イエ</t>
    </rPh>
    <rPh sb="2" eb="4">
      <t>ゼンタイ</t>
    </rPh>
    <rPh sb="5" eb="6">
      <t>マド</t>
    </rPh>
    <rPh sb="7" eb="9">
      <t>ハンブン</t>
    </rPh>
    <rPh sb="9" eb="11">
      <t>テイド</t>
    </rPh>
    <rPh sb="12" eb="14">
      <t>セッチ</t>
    </rPh>
    <rPh sb="16" eb="17">
      <t>ツカ</t>
    </rPh>
    <rPh sb="21" eb="23">
      <t>セッテイ</t>
    </rPh>
    <phoneticPr fontId="1"/>
  </si>
  <si>
    <t>・この効果は建物全体の断熱レベルがS55年基準の場合のみで評価できます（他の断熱レベルと併用して評価できません）</t>
    <rPh sb="3" eb="5">
      <t>コウカ</t>
    </rPh>
    <rPh sb="6" eb="8">
      <t>タテモノ</t>
    </rPh>
    <rPh sb="8" eb="10">
      <t>ゼンタイ</t>
    </rPh>
    <rPh sb="11" eb="13">
      <t>ダンネツ</t>
    </rPh>
    <rPh sb="20" eb="21">
      <t>ネン</t>
    </rPh>
    <rPh sb="21" eb="23">
      <t>キジュン</t>
    </rPh>
    <rPh sb="24" eb="26">
      <t>バアイ</t>
    </rPh>
    <rPh sb="29" eb="31">
      <t>ヒョウカ</t>
    </rPh>
    <rPh sb="36" eb="37">
      <t>ホカ</t>
    </rPh>
    <rPh sb="38" eb="40">
      <t>ダンネツ</t>
    </rPh>
    <rPh sb="44" eb="46">
      <t>ヘイヨウ</t>
    </rPh>
    <rPh sb="48" eb="50">
      <t>ヒョウカ</t>
    </rPh>
    <phoneticPr fontId="1"/>
  </si>
  <si>
    <t>・LDKの暖房設備として判断すればよい（LDK以外の暖房設備はエアコン（2005年以前）として評価しています）</t>
    <rPh sb="5" eb="7">
      <t>ダンボウ</t>
    </rPh>
    <rPh sb="7" eb="9">
      <t>セツビ</t>
    </rPh>
    <rPh sb="12" eb="14">
      <t>ハンダン</t>
    </rPh>
    <rPh sb="23" eb="25">
      <t>イガイ</t>
    </rPh>
    <rPh sb="26" eb="28">
      <t>ダンボウ</t>
    </rPh>
    <rPh sb="28" eb="30">
      <t>セツビ</t>
    </rPh>
    <rPh sb="40" eb="41">
      <t>ネン</t>
    </rPh>
    <rPh sb="41" eb="43">
      <t>イゼン</t>
    </rPh>
    <rPh sb="47" eb="49">
      <t>ヒョウカ</t>
    </rPh>
    <phoneticPr fontId="1"/>
  </si>
  <si>
    <t>・次の条件をすべて満たす場合に評価：床面積当たり熱容量が170kJ/m3K程度、断熱性能がH11年基準以上、積極的に日射取得する　　※これはテキストには記載されていない評価項目です。</t>
    <rPh sb="1" eb="2">
      <t>ツギ</t>
    </rPh>
    <rPh sb="3" eb="5">
      <t>ジョウケン</t>
    </rPh>
    <rPh sb="9" eb="10">
      <t>ミ</t>
    </rPh>
    <rPh sb="12" eb="14">
      <t>バアイ</t>
    </rPh>
    <rPh sb="15" eb="17">
      <t>ヒョウカ</t>
    </rPh>
    <rPh sb="18" eb="21">
      <t>ユカメンセキ</t>
    </rPh>
    <rPh sb="21" eb="22">
      <t>ア</t>
    </rPh>
    <rPh sb="24" eb="27">
      <t>ネツヨウリョウ</t>
    </rPh>
    <rPh sb="37" eb="39">
      <t>テイド</t>
    </rPh>
    <rPh sb="40" eb="42">
      <t>ダンネツ</t>
    </rPh>
    <rPh sb="42" eb="44">
      <t>セイノウ</t>
    </rPh>
    <rPh sb="48" eb="49">
      <t>ネン</t>
    </rPh>
    <rPh sb="49" eb="51">
      <t>キジュン</t>
    </rPh>
    <rPh sb="51" eb="53">
      <t>イジョウ</t>
    </rPh>
    <rPh sb="54" eb="57">
      <t>セッキョクテキ</t>
    </rPh>
    <rPh sb="58" eb="60">
      <t>ニッシャ</t>
    </rPh>
    <rPh sb="60" eb="62">
      <t>シュトク</t>
    </rPh>
    <rPh sb="76" eb="78">
      <t>キサイ</t>
    </rPh>
    <rPh sb="84" eb="86">
      <t>ヒョウカ</t>
    </rPh>
    <rPh sb="86" eb="88">
      <t>コウモク</t>
    </rPh>
    <phoneticPr fontId="1"/>
  </si>
  <si>
    <t>数値がマイナスになる場合は、一次エネルギー消費量が増加していることを示します。</t>
    <phoneticPr fontId="1"/>
  </si>
  <si>
    <t>・すべての窓を想定　　　　　　　　　　　　　　　　　　　　　　・＜標準＞は「庇なし」「シングルガラス」「レースカーテン」</t>
    <rPh sb="5" eb="6">
      <t>マド</t>
    </rPh>
    <rPh sb="7" eb="9">
      <t>ソウテイ</t>
    </rPh>
    <rPh sb="33" eb="35">
      <t>ヒョウジュン</t>
    </rPh>
    <rPh sb="38" eb="39">
      <t>ヒサシ</t>
    </rPh>
    <phoneticPr fontId="1"/>
  </si>
  <si>
    <t xml:space="preserve"> ・すべて「なし」が＜標準＞</t>
    <rPh sb="11" eb="13">
      <t>ヒョウジュン</t>
    </rPh>
    <phoneticPr fontId="1"/>
  </si>
  <si>
    <t>瞬間湯沸し・瞬間昇温</t>
  </si>
  <si>
    <t>LPガスコンロ</t>
  </si>
  <si>
    <t>　下の算定方法を参照してください.。
　太陽光発電を設置しない場合は「0」の入力になります。</t>
    <rPh sb="1" eb="2">
      <t>シタ</t>
    </rPh>
    <rPh sb="3" eb="7">
      <t>サンテイホウホウ</t>
    </rPh>
    <rPh sb="8" eb="10">
      <t>サンショウ</t>
    </rPh>
    <phoneticPr fontId="1"/>
  </si>
  <si>
    <t>　導入する蓄電池は、太陽光発電での発電分をすべて蓄電できるものを使用しているという
　前提で計算します。</t>
    <rPh sb="1" eb="3">
      <t>ドウニュウ</t>
    </rPh>
    <rPh sb="5" eb="8">
      <t>チクデンチ</t>
    </rPh>
    <rPh sb="10" eb="15">
      <t>タイヨウコウハツデン</t>
    </rPh>
    <rPh sb="17" eb="19">
      <t>ハツデン</t>
    </rPh>
    <rPh sb="19" eb="20">
      <t>ブン</t>
    </rPh>
    <rPh sb="24" eb="26">
      <t>チクデン</t>
    </rPh>
    <rPh sb="32" eb="34">
      <t>シヨウ</t>
    </rPh>
    <rPh sb="43" eb="45">
      <t>ゼンテイ</t>
    </rPh>
    <rPh sb="46" eb="48">
      <t>ケイサン</t>
    </rPh>
    <phoneticPr fontId="1"/>
  </si>
  <si>
    <t>実際には、ガスや灯油の給湯器でも電力消費量はゼロにはなりませんが、このプログラムの評価はゼロとしています。</t>
    <rPh sb="0" eb="2">
      <t>ジッサイ</t>
    </rPh>
    <rPh sb="8" eb="10">
      <t>トウユ</t>
    </rPh>
    <rPh sb="11" eb="14">
      <t>キュウトウキ</t>
    </rPh>
    <rPh sb="16" eb="18">
      <t>デンリョク</t>
    </rPh>
    <rPh sb="18" eb="21">
      <t>ショウヒリョウ</t>
    </rPh>
    <rPh sb="41" eb="43">
      <t>ヒョウカ</t>
    </rPh>
    <phoneticPr fontId="1"/>
  </si>
  <si>
    <t>AFTERの判定</t>
    <rPh sb="6" eb="8">
      <t>ハンテイ</t>
    </rPh>
    <phoneticPr fontId="1"/>
  </si>
  <si>
    <t>太陽光発電を含む一次ネルギー消費量合計</t>
    <rPh sb="8" eb="10">
      <t>イチジ</t>
    </rPh>
    <rPh sb="9" eb="10">
      <t>タイチ</t>
    </rPh>
    <rPh sb="14" eb="17">
      <t>ショウヒリョウ</t>
    </rPh>
    <rPh sb="17" eb="19">
      <t>ゴウケイ</t>
    </rPh>
    <phoneticPr fontId="1"/>
  </si>
  <si>
    <t>太陽光発電を含む電力消費量合計</t>
    <rPh sb="8" eb="10">
      <t>デンリョク</t>
    </rPh>
    <rPh sb="10" eb="13">
      <t>ショウヒリョウ</t>
    </rPh>
    <rPh sb="13" eb="15">
      <t>ゴウケイ</t>
    </rPh>
    <phoneticPr fontId="1"/>
  </si>
  <si>
    <t>各用途の合計・BEFORE/AFTERの比較</t>
    <rPh sb="0" eb="3">
      <t>カクヨウト</t>
    </rPh>
    <rPh sb="4" eb="6">
      <t>ゴウケイ</t>
    </rPh>
    <rPh sb="20" eb="22">
      <t>ヒカク</t>
    </rPh>
    <phoneticPr fontId="1"/>
  </si>
  <si>
    <t>1985家族判定</t>
    <rPh sb="4" eb="6">
      <t>カゾク</t>
    </rPh>
    <rPh sb="6" eb="8">
      <t>ハンテイ</t>
    </rPh>
    <phoneticPr fontId="1"/>
  </si>
  <si>
    <t>■太陽光発電の評価</t>
    <rPh sb="1" eb="4">
      <t>タイヨウコウ</t>
    </rPh>
    <rPh sb="4" eb="6">
      <t>ハツデン</t>
    </rPh>
    <rPh sb="7" eb="9">
      <t>ヒョウカ</t>
    </rPh>
    <phoneticPr fontId="1"/>
  </si>
  <si>
    <t>■太陽光発電を含んだ光熱費</t>
    <rPh sb="1" eb="4">
      <t>タイヨウコウ</t>
    </rPh>
    <rPh sb="4" eb="6">
      <t>ハツデン</t>
    </rPh>
    <rPh sb="7" eb="8">
      <t>フク</t>
    </rPh>
    <rPh sb="10" eb="13">
      <t>コウネツヒ</t>
    </rPh>
    <phoneticPr fontId="1"/>
  </si>
  <si>
    <t>太陽光発電を含む光熱費合計</t>
    <rPh sb="8" eb="11">
      <t>コウネツヒ</t>
    </rPh>
    <rPh sb="11" eb="13">
      <t>ゴウケイ</t>
    </rPh>
    <phoneticPr fontId="1"/>
  </si>
  <si>
    <r>
      <t>■太陽光発電を</t>
    </r>
    <r>
      <rPr>
        <b/>
        <sz val="11"/>
        <color rgb="FFC00000"/>
        <rFont val="Meiryo UI"/>
        <family val="3"/>
        <charset val="128"/>
      </rPr>
      <t>除いた</t>
    </r>
    <r>
      <rPr>
        <b/>
        <sz val="11"/>
        <color theme="1"/>
        <rFont val="Meiryo UI"/>
        <family val="3"/>
        <charset val="128"/>
      </rPr>
      <t>1985家族判定</t>
    </r>
    <rPh sb="1" eb="4">
      <t>タイヨウコウ</t>
    </rPh>
    <rPh sb="4" eb="6">
      <t>ハツデン</t>
    </rPh>
    <rPh sb="7" eb="8">
      <t>ノゾ</t>
    </rPh>
    <rPh sb="14" eb="16">
      <t>カゾク</t>
    </rPh>
    <rPh sb="16" eb="18">
      <t>ハンテイ</t>
    </rPh>
    <phoneticPr fontId="1"/>
  </si>
  <si>
    <r>
      <t>■太陽光発電を</t>
    </r>
    <r>
      <rPr>
        <b/>
        <sz val="11"/>
        <color rgb="FFC00000"/>
        <rFont val="Meiryo UI"/>
        <family val="3"/>
        <charset val="128"/>
      </rPr>
      <t>含んだ</t>
    </r>
    <r>
      <rPr>
        <b/>
        <sz val="11"/>
        <color theme="1"/>
        <rFont val="Meiryo UI"/>
        <family val="3"/>
        <charset val="128"/>
      </rPr>
      <t>1985家族判定</t>
    </r>
    <rPh sb="1" eb="4">
      <t>タイヨウコウ</t>
    </rPh>
    <rPh sb="4" eb="6">
      <t>ハツデン</t>
    </rPh>
    <rPh sb="7" eb="8">
      <t>フク</t>
    </rPh>
    <rPh sb="14" eb="16">
      <t>カゾク</t>
    </rPh>
    <rPh sb="16" eb="18">
      <t>ハンテイ</t>
    </rPh>
    <phoneticPr fontId="1"/>
  </si>
  <si>
    <t>ペレットストーブや薪ストーブでも、LDK以外の暖房はエアコンとして計算しているため、電力消費量はゼロにはなりません。</t>
    <rPh sb="9" eb="10">
      <t>マキ</t>
    </rPh>
    <rPh sb="20" eb="22">
      <t>イガイ</t>
    </rPh>
    <rPh sb="23" eb="25">
      <t>ダンボウ</t>
    </rPh>
    <rPh sb="33" eb="35">
      <t>ケイサン</t>
    </rPh>
    <rPh sb="42" eb="47">
      <t>デンリョクショウ</t>
    </rPh>
    <phoneticPr fontId="1"/>
  </si>
  <si>
    <t>差</t>
    <rPh sb="0" eb="1">
      <t>サ</t>
    </rPh>
    <phoneticPr fontId="1"/>
  </si>
  <si>
    <t>一次エネルギー消費量</t>
    <rPh sb="0" eb="2">
      <t>イチジ</t>
    </rPh>
    <rPh sb="7" eb="10">
      <t>ショウヒリョウ</t>
    </rPh>
    <phoneticPr fontId="1"/>
  </si>
  <si>
    <t>合計の評価・1985家族判定</t>
    <rPh sb="0" eb="2">
      <t>ゴウケイ</t>
    </rPh>
    <rPh sb="3" eb="5">
      <t>ヒョウカ</t>
    </rPh>
    <rPh sb="10" eb="12">
      <t>カゾク</t>
    </rPh>
    <rPh sb="12" eb="14">
      <t>ハンテイ</t>
    </rPh>
    <phoneticPr fontId="1"/>
  </si>
  <si>
    <t>電気温水器</t>
  </si>
  <si>
    <t>四国</t>
    <rPh sb="0" eb="2">
      <t>シコク</t>
    </rPh>
    <phoneticPr fontId="1"/>
  </si>
  <si>
    <t>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</si>
</sst>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 "/>
    <numFmt numFmtId="177" formatCode="0.0_ "/>
    <numFmt numFmtId="178" formatCode="0.0\ &quot;％&quot;"/>
    <numFmt numFmtId="179" formatCode="0.00\ &quot;GJ/年&quot;"/>
    <numFmt numFmtId="180" formatCode="0.00_);[Red]\(0.00\)"/>
    <numFmt numFmtId="181" formatCode="0.0&quot;％&quot;\ "/>
    <numFmt numFmtId="182" formatCode="0\ &quot;円/年&quot;"/>
    <numFmt numFmtId="183" formatCode="#,##0.0_ "/>
    <numFmt numFmtId="184" formatCode="&quot;（&quot;0&quot;）&quot;"/>
    <numFmt numFmtId="185" formatCode="0\ &quot;GJ/年&quot;"/>
  </numFmts>
  <fonts count="58" x14ac:knownFonts="1">
    <font>
      <sz val="11"/>
      <color theme="1"/>
      <name val="ＭＳ Ｐゴシック"/>
      <family val="2"/>
      <charset val="128"/>
      <scheme val="minor"/>
    </font>
    <font>
      <sz val="6"/>
      <name val="ＭＳ Ｐゴシック"/>
      <family val="2"/>
      <charset val="128"/>
      <scheme val="minor"/>
    </font>
    <font>
      <sz val="11"/>
      <color rgb="FFFF0000"/>
      <name val="ＭＳ Ｐゴシック"/>
      <family val="2"/>
      <charset val="128"/>
      <scheme val="minor"/>
    </font>
    <font>
      <sz val="11"/>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1"/>
      <color theme="0"/>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9"/>
      <color theme="1"/>
      <name val="ＭＳ Ｐゴシック"/>
      <family val="3"/>
      <charset val="128"/>
      <scheme val="minor"/>
    </font>
    <font>
      <sz val="11"/>
      <color rgb="FF00B0F0"/>
      <name val="ＭＳ Ｐゴシック"/>
      <family val="2"/>
      <charset val="128"/>
      <scheme val="minor"/>
    </font>
    <font>
      <sz val="11"/>
      <color rgb="FFFF0000"/>
      <name val="ＭＳ Ｐゴシック"/>
      <family val="3"/>
      <charset val="128"/>
      <scheme val="minor"/>
    </font>
    <font>
      <sz val="6"/>
      <name val="ＭＳ Ｐゴシック"/>
      <family val="3"/>
      <charset val="128"/>
    </font>
    <font>
      <u/>
      <sz val="11"/>
      <color theme="10"/>
      <name val="ＭＳ Ｐゴシック"/>
      <family val="2"/>
      <charset val="128"/>
      <scheme val="minor"/>
    </font>
    <font>
      <sz val="11"/>
      <color theme="1"/>
      <name val="Meiryo UI"/>
      <family val="3"/>
      <charset val="128"/>
    </font>
    <font>
      <sz val="11"/>
      <color theme="0"/>
      <name val="Meiryo UI"/>
      <family val="3"/>
      <charset val="128"/>
    </font>
    <font>
      <sz val="14"/>
      <color theme="1"/>
      <name val="Meiryo UI"/>
      <family val="3"/>
      <charset val="128"/>
    </font>
    <font>
      <sz val="9"/>
      <color rgb="FFFF0000"/>
      <name val="Meiryo UI"/>
      <family val="3"/>
      <charset val="128"/>
    </font>
    <font>
      <sz val="10"/>
      <color theme="1"/>
      <name val="Meiryo UI"/>
      <family val="3"/>
      <charset val="128"/>
    </font>
    <font>
      <sz val="9"/>
      <color theme="1"/>
      <name val="Meiryo UI"/>
      <family val="3"/>
      <charset val="128"/>
    </font>
    <font>
      <sz val="9"/>
      <name val="Meiryo UI"/>
      <family val="3"/>
      <charset val="128"/>
    </font>
    <font>
      <b/>
      <sz val="16"/>
      <color theme="0"/>
      <name val="Meiryo UI"/>
      <family val="3"/>
      <charset val="128"/>
    </font>
    <font>
      <b/>
      <sz val="18"/>
      <color theme="0"/>
      <name val="Meiryo UI"/>
      <family val="3"/>
      <charset val="128"/>
    </font>
    <font>
      <b/>
      <sz val="12"/>
      <color theme="0"/>
      <name val="Meiryo UI"/>
      <family val="3"/>
      <charset val="128"/>
    </font>
    <font>
      <sz val="6"/>
      <name val="ＭＳ Ｐゴシック"/>
      <family val="3"/>
      <charset val="128"/>
      <scheme val="minor"/>
    </font>
    <font>
      <b/>
      <sz val="14"/>
      <color theme="0"/>
      <name val="Meiryo UI"/>
      <family val="3"/>
      <charset val="128"/>
    </font>
    <font>
      <sz val="9"/>
      <color theme="0"/>
      <name val="Meiryo UI"/>
      <family val="3"/>
      <charset val="128"/>
    </font>
    <font>
      <b/>
      <sz val="11"/>
      <color theme="1"/>
      <name val="Meiryo UI"/>
      <family val="3"/>
      <charset val="128"/>
    </font>
    <font>
      <u/>
      <sz val="11"/>
      <color theme="10"/>
      <name val="ＭＳ Ｐゴシック"/>
      <family val="3"/>
      <charset val="128"/>
      <scheme val="minor"/>
    </font>
    <font>
      <b/>
      <sz val="14"/>
      <color theme="1"/>
      <name val="Meiryo UI"/>
      <family val="3"/>
      <charset val="128"/>
    </font>
    <font>
      <u/>
      <sz val="11"/>
      <color rgb="FF0070C0"/>
      <name val="Meiryo UI"/>
      <family val="3"/>
      <charset val="128"/>
    </font>
    <font>
      <b/>
      <sz val="12"/>
      <color theme="4" tint="-0.499984740745262"/>
      <name val="Meiryo UI"/>
      <family val="3"/>
      <charset val="128"/>
    </font>
    <font>
      <sz val="9"/>
      <color rgb="FFFF9933"/>
      <name val="Meiryo UI"/>
      <family val="3"/>
      <charset val="128"/>
    </font>
    <font>
      <sz val="11"/>
      <color rgb="FFFF9933"/>
      <name val="Meiryo UI"/>
      <family val="3"/>
      <charset val="128"/>
    </font>
    <font>
      <b/>
      <sz val="11"/>
      <name val="Meiryo UI"/>
      <family val="3"/>
      <charset val="128"/>
    </font>
    <font>
      <b/>
      <sz val="10"/>
      <name val="Meiryo UI"/>
      <family val="3"/>
      <charset val="128"/>
    </font>
    <font>
      <b/>
      <sz val="10"/>
      <color theme="1"/>
      <name val="Meiryo UI"/>
      <family val="3"/>
      <charset val="128"/>
    </font>
    <font>
      <sz val="10"/>
      <name val="Meiryo UI"/>
      <family val="3"/>
      <charset val="128"/>
    </font>
    <font>
      <sz val="11"/>
      <name val="Meiryo UI"/>
      <family val="3"/>
      <charset val="128"/>
    </font>
    <font>
      <sz val="10"/>
      <color rgb="FFFF0000"/>
      <name val="Meiryo UI"/>
      <family val="3"/>
      <charset val="128"/>
    </font>
    <font>
      <sz val="10"/>
      <color theme="0"/>
      <name val="Meiryo UI"/>
      <family val="3"/>
      <charset val="128"/>
    </font>
    <font>
      <b/>
      <sz val="10"/>
      <color rgb="FFFF0000"/>
      <name val="Meiryo UI"/>
      <family val="3"/>
      <charset val="128"/>
    </font>
    <font>
      <b/>
      <sz val="12"/>
      <color theme="7" tint="-0.499984740745262"/>
      <name val="Meiryo UI"/>
      <family val="3"/>
      <charset val="128"/>
    </font>
    <font>
      <sz val="11"/>
      <color theme="7" tint="-0.499984740745262"/>
      <name val="Meiryo UI"/>
      <family val="3"/>
      <charset val="128"/>
    </font>
    <font>
      <b/>
      <sz val="11"/>
      <color theme="0"/>
      <name val="Meiryo UI"/>
      <family val="3"/>
      <charset val="128"/>
    </font>
    <font>
      <b/>
      <sz val="11"/>
      <color theme="7" tint="-0.499984740745262"/>
      <name val="Meiryo UI"/>
      <family val="3"/>
      <charset val="128"/>
    </font>
    <font>
      <b/>
      <sz val="16"/>
      <color theme="7" tint="-0.499984740745262"/>
      <name val="Meiryo UI"/>
      <family val="3"/>
      <charset val="128"/>
    </font>
    <font>
      <b/>
      <sz val="10"/>
      <color theme="0"/>
      <name val="Meiryo UI"/>
      <family val="3"/>
      <charset val="128"/>
    </font>
    <font>
      <b/>
      <sz val="14"/>
      <color theme="7" tint="-0.499984740745262"/>
      <name val="Meiryo UI"/>
      <family val="3"/>
      <charset val="128"/>
    </font>
    <font>
      <b/>
      <sz val="10"/>
      <color rgb="FF0070C0"/>
      <name val="Meiryo UI"/>
      <family val="3"/>
      <charset val="128"/>
    </font>
    <font>
      <u/>
      <sz val="11"/>
      <color theme="10"/>
      <name val="Meiryo UI"/>
      <family val="3"/>
      <charset val="128"/>
    </font>
    <font>
      <sz val="11"/>
      <color rgb="FFFF0000"/>
      <name val="Meiryo UI"/>
      <family val="3"/>
      <charset val="128"/>
    </font>
    <font>
      <sz val="11"/>
      <color theme="1"/>
      <name val="ＭＳ Ｐゴシック"/>
      <family val="2"/>
      <charset val="128"/>
      <scheme val="minor"/>
    </font>
    <font>
      <sz val="8"/>
      <color theme="1"/>
      <name val="Meiryo UI"/>
      <family val="3"/>
      <charset val="128"/>
    </font>
    <font>
      <sz val="7"/>
      <color theme="1"/>
      <name val="Meiryo UI"/>
      <family val="3"/>
      <charset val="128"/>
    </font>
    <font>
      <b/>
      <sz val="9"/>
      <color rgb="FFFF9933"/>
      <name val="Meiryo UI"/>
      <family val="3"/>
      <charset val="128"/>
    </font>
    <font>
      <sz val="11"/>
      <color rgb="FFC00000"/>
      <name val="Meiryo UI"/>
      <family val="3"/>
      <charset val="128"/>
    </font>
    <font>
      <b/>
      <sz val="11"/>
      <color rgb="FFC00000"/>
      <name val="Meiryo UI"/>
      <family val="3"/>
      <charset val="128"/>
    </font>
  </fonts>
  <fills count="21">
    <fill>
      <patternFill patternType="none"/>
    </fill>
    <fill>
      <patternFill patternType="gray125"/>
    </fill>
    <fill>
      <patternFill patternType="solid">
        <fgColor theme="4" tint="0.59999389629810485"/>
        <bgColor indexed="64"/>
      </patternFill>
    </fill>
    <fill>
      <patternFill patternType="solid">
        <fgColor rgb="FFFF0000"/>
        <bgColor indexed="64"/>
      </patternFill>
    </fill>
    <fill>
      <patternFill patternType="solid">
        <fgColor theme="0" tint="-0.249977111117893"/>
        <bgColor indexed="64"/>
      </patternFill>
    </fill>
    <fill>
      <patternFill patternType="solid">
        <fgColor theme="7"/>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rgb="FFEBE753"/>
        <bgColor indexed="64"/>
      </patternFill>
    </fill>
    <fill>
      <patternFill patternType="solid">
        <fgColor rgb="FFF8BC5A"/>
        <bgColor indexed="64"/>
      </patternFill>
    </fill>
    <fill>
      <patternFill patternType="solid">
        <fgColor rgb="FF5F9547"/>
        <bgColor indexed="64"/>
      </patternFill>
    </fill>
    <fill>
      <patternFill patternType="solid">
        <fgColor rgb="FF90C07A"/>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CBEBD"/>
        <bgColor indexed="64"/>
      </patternFill>
    </fill>
    <fill>
      <patternFill patternType="solid">
        <fgColor theme="7" tint="-0.499984740745262"/>
        <bgColor indexed="64"/>
      </patternFill>
    </fill>
    <fill>
      <patternFill patternType="solid">
        <fgColor theme="7" tint="0.79998168889431442"/>
        <bgColor indexed="64"/>
      </patternFill>
    </fill>
    <fill>
      <patternFill patternType="solid">
        <fgColor theme="0"/>
        <bgColor indexed="64"/>
      </patternFill>
    </fill>
  </fills>
  <borders count="65">
    <border>
      <left/>
      <right/>
      <top/>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style="thin">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style="medium">
        <color auto="1"/>
      </left>
      <right style="medium">
        <color auto="1"/>
      </right>
      <top/>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top/>
      <bottom style="medium">
        <color auto="1"/>
      </bottom>
      <diagonal/>
    </border>
    <border>
      <left/>
      <right style="thin">
        <color auto="1"/>
      </right>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thin">
        <color auto="1"/>
      </top>
      <bottom/>
      <diagonal/>
    </border>
  </borders>
  <cellStyleXfs count="5">
    <xf numFmtId="0" fontId="0" fillId="0" borderId="0">
      <alignment vertical="center"/>
    </xf>
    <xf numFmtId="0" fontId="13" fillId="0" borderId="0" applyNumberFormat="0" applyFill="0" applyBorder="0" applyAlignment="0" applyProtection="0">
      <alignment vertical="center"/>
    </xf>
    <xf numFmtId="0" fontId="4" fillId="0" borderId="0">
      <alignment vertical="center"/>
    </xf>
    <xf numFmtId="0" fontId="28" fillId="0" borderId="0" applyNumberFormat="0" applyFill="0" applyBorder="0" applyAlignment="0" applyProtection="0">
      <alignment vertical="center"/>
    </xf>
    <xf numFmtId="38" fontId="52" fillId="0" borderId="0" applyFont="0" applyFill="0" applyBorder="0" applyAlignment="0" applyProtection="0">
      <alignment vertical="center"/>
    </xf>
  </cellStyleXfs>
  <cellXfs count="454">
    <xf numFmtId="0" fontId="0" fillId="0" borderId="0" xfId="0">
      <alignment vertical="center"/>
    </xf>
    <xf numFmtId="0" fontId="0" fillId="0" borderId="0" xfId="0" applyAlignment="1">
      <alignment horizontal="right" vertical="center"/>
    </xf>
    <xf numFmtId="0" fontId="0" fillId="0" borderId="1" xfId="0" applyBorder="1">
      <alignment vertical="center"/>
    </xf>
    <xf numFmtId="0" fontId="0" fillId="0" borderId="1" xfId="0" applyBorder="1" applyAlignment="1">
      <alignment horizontal="right" vertical="center"/>
    </xf>
    <xf numFmtId="0" fontId="2" fillId="0" borderId="0" xfId="0" applyFont="1">
      <alignment vertical="center"/>
    </xf>
    <xf numFmtId="0" fontId="0" fillId="0" borderId="0" xfId="0" applyAlignment="1">
      <alignment vertical="center" wrapText="1"/>
    </xf>
    <xf numFmtId="0" fontId="0" fillId="0" borderId="0" xfId="0" applyAlignment="1">
      <alignment horizontal="left" vertical="center"/>
    </xf>
    <xf numFmtId="0" fontId="5" fillId="0" borderId="0" xfId="0" applyFont="1">
      <alignment vertical="center"/>
    </xf>
    <xf numFmtId="0" fontId="5" fillId="0" borderId="2" xfId="0" applyFont="1" applyBorder="1">
      <alignment vertical="center"/>
    </xf>
    <xf numFmtId="177" fontId="0" fillId="0" borderId="0" xfId="0" applyNumberFormat="1">
      <alignment vertical="center"/>
    </xf>
    <xf numFmtId="176" fontId="0" fillId="0" borderId="0" xfId="0" applyNumberFormat="1">
      <alignment vertical="center"/>
    </xf>
    <xf numFmtId="0" fontId="0" fillId="4" borderId="0" xfId="0" applyFill="1">
      <alignment vertical="center"/>
    </xf>
    <xf numFmtId="0" fontId="8" fillId="0" borderId="0" xfId="0" applyFont="1">
      <alignment vertical="center"/>
    </xf>
    <xf numFmtId="0" fontId="0" fillId="5" borderId="0" xfId="0" applyFill="1">
      <alignment vertical="center"/>
    </xf>
    <xf numFmtId="0" fontId="3" fillId="0" borderId="0" xfId="0" applyFont="1">
      <alignment vertical="center"/>
    </xf>
    <xf numFmtId="0" fontId="0" fillId="4" borderId="0" xfId="0" applyFill="1" applyAlignment="1">
      <alignment horizontal="right" vertical="center"/>
    </xf>
    <xf numFmtId="0" fontId="3" fillId="4" borderId="0" xfId="0" applyFont="1" applyFill="1">
      <alignment vertical="center"/>
    </xf>
    <xf numFmtId="0" fontId="10" fillId="4" borderId="0" xfId="0" applyFont="1" applyFill="1">
      <alignment vertical="center"/>
    </xf>
    <xf numFmtId="0" fontId="10" fillId="0" borderId="0" xfId="0" applyFont="1">
      <alignment vertical="center"/>
    </xf>
    <xf numFmtId="0" fontId="11" fillId="0" borderId="0" xfId="0" applyFont="1">
      <alignment vertical="center"/>
    </xf>
    <xf numFmtId="0" fontId="2" fillId="0" borderId="1" xfId="0" applyFont="1" applyBorder="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83" fontId="0" fillId="0" borderId="1" xfId="0" applyNumberFormat="1" applyBorder="1">
      <alignment vertical="center"/>
    </xf>
    <xf numFmtId="183" fontId="0" fillId="0" borderId="20" xfId="0" applyNumberFormat="1" applyBorder="1">
      <alignment vertical="center"/>
    </xf>
    <xf numFmtId="0" fontId="0" fillId="0" borderId="22" xfId="0" applyBorder="1">
      <alignment vertical="center"/>
    </xf>
    <xf numFmtId="183" fontId="0" fillId="0" borderId="23" xfId="0" applyNumberFormat="1" applyBorder="1">
      <alignment vertical="center"/>
    </xf>
    <xf numFmtId="0" fontId="0" fillId="0" borderId="24" xfId="0" applyBorder="1" applyAlignment="1">
      <alignment horizontal="center" vertical="center"/>
    </xf>
    <xf numFmtId="183" fontId="0" fillId="0" borderId="4" xfId="0" applyNumberFormat="1" applyBorder="1">
      <alignment vertical="center"/>
    </xf>
    <xf numFmtId="0" fontId="0" fillId="0" borderId="26" xfId="0" applyBorder="1">
      <alignment vertical="center"/>
    </xf>
    <xf numFmtId="183" fontId="0" fillId="0" borderId="27" xfId="0" applyNumberFormat="1" applyBorder="1">
      <alignment vertical="center"/>
    </xf>
    <xf numFmtId="183" fontId="0" fillId="0" borderId="26" xfId="0" applyNumberFormat="1" applyBorder="1">
      <alignment vertical="center"/>
    </xf>
    <xf numFmtId="0" fontId="6" fillId="3" borderId="4" xfId="0" applyFont="1" applyFill="1" applyBorder="1">
      <alignment vertical="center"/>
    </xf>
    <xf numFmtId="0" fontId="6" fillId="3" borderId="0" xfId="0" applyFont="1" applyFill="1">
      <alignment vertical="center"/>
    </xf>
    <xf numFmtId="0" fontId="0" fillId="0" borderId="0" xfId="0" applyAlignment="1">
      <alignment horizontal="center" vertical="center"/>
    </xf>
    <xf numFmtId="0" fontId="14" fillId="0" borderId="0" xfId="0" applyFont="1">
      <alignment vertical="center"/>
    </xf>
    <xf numFmtId="0" fontId="16" fillId="0" borderId="0" xfId="0" applyFont="1">
      <alignment vertical="center"/>
    </xf>
    <xf numFmtId="0" fontId="17" fillId="0" borderId="0" xfId="0" applyFont="1">
      <alignment vertical="center"/>
    </xf>
    <xf numFmtId="0" fontId="18" fillId="0" borderId="0" xfId="0" applyFont="1">
      <alignment vertical="center"/>
    </xf>
    <xf numFmtId="0" fontId="19" fillId="0" borderId="0" xfId="0" applyFont="1">
      <alignment vertical="center"/>
    </xf>
    <xf numFmtId="0" fontId="20" fillId="0" borderId="0" xfId="0" applyFont="1">
      <alignment vertical="center"/>
    </xf>
    <xf numFmtId="0" fontId="15" fillId="10" borderId="0" xfId="0" applyFont="1" applyFill="1">
      <alignment vertical="center"/>
    </xf>
    <xf numFmtId="0" fontId="21" fillId="10" borderId="0" xfId="0" applyFont="1" applyFill="1">
      <alignment vertical="center"/>
    </xf>
    <xf numFmtId="0" fontId="14" fillId="6" borderId="0" xfId="2" applyFont="1" applyFill="1">
      <alignment vertical="center"/>
    </xf>
    <xf numFmtId="0" fontId="14" fillId="11" borderId="0" xfId="2" applyFont="1" applyFill="1">
      <alignment vertical="center"/>
    </xf>
    <xf numFmtId="0" fontId="14" fillId="12" borderId="0" xfId="2" applyFont="1" applyFill="1">
      <alignment vertical="center"/>
    </xf>
    <xf numFmtId="0" fontId="22" fillId="13" borderId="0" xfId="2" applyFont="1" applyFill="1" applyAlignment="1">
      <alignment horizontal="left" vertical="center" indent="1"/>
    </xf>
    <xf numFmtId="0" fontId="15" fillId="13" borderId="0" xfId="2" applyFont="1" applyFill="1">
      <alignment vertical="center"/>
    </xf>
    <xf numFmtId="0" fontId="14" fillId="0" borderId="0" xfId="2" applyFont="1">
      <alignment vertical="center"/>
    </xf>
    <xf numFmtId="0" fontId="29" fillId="0" borderId="0" xfId="2" applyFont="1" applyAlignment="1">
      <alignment horizontal="left" vertical="center" indent="1"/>
    </xf>
    <xf numFmtId="0" fontId="19" fillId="0" borderId="0" xfId="2" applyFont="1">
      <alignment vertical="center"/>
    </xf>
    <xf numFmtId="0" fontId="30" fillId="0" borderId="0" xfId="3" applyFont="1">
      <alignment vertical="center"/>
    </xf>
    <xf numFmtId="55" fontId="14" fillId="0" borderId="0" xfId="2" applyNumberFormat="1" applyFont="1" applyAlignment="1">
      <alignment horizontal="left" vertical="center"/>
    </xf>
    <xf numFmtId="0" fontId="25" fillId="14" borderId="0" xfId="2" applyFont="1" applyFill="1" applyAlignment="1">
      <alignment horizontal="left" vertical="center" indent="1"/>
    </xf>
    <xf numFmtId="0" fontId="26" fillId="14" borderId="0" xfId="2" applyFont="1" applyFill="1">
      <alignment vertical="center"/>
    </xf>
    <xf numFmtId="0" fontId="15" fillId="14" borderId="0" xfId="2" applyFont="1" applyFill="1">
      <alignment vertical="center"/>
    </xf>
    <xf numFmtId="0" fontId="14" fillId="15" borderId="1" xfId="0" applyFont="1" applyFill="1" applyBorder="1" applyAlignment="1">
      <alignment horizontal="left" vertical="center"/>
    </xf>
    <xf numFmtId="0" fontId="14" fillId="16" borderId="0" xfId="0" applyFont="1" applyFill="1">
      <alignment vertical="center"/>
    </xf>
    <xf numFmtId="0" fontId="15" fillId="0" borderId="0" xfId="0" applyFont="1">
      <alignment vertical="center"/>
    </xf>
    <xf numFmtId="0" fontId="31" fillId="16" borderId="0" xfId="0" applyFont="1" applyFill="1">
      <alignment vertical="center"/>
    </xf>
    <xf numFmtId="0" fontId="14" fillId="0" borderId="6" xfId="0" applyFont="1" applyBorder="1" applyAlignment="1">
      <alignment horizontal="left" vertical="center"/>
    </xf>
    <xf numFmtId="0" fontId="14" fillId="11" borderId="1" xfId="0" applyFont="1" applyFill="1" applyBorder="1" applyProtection="1">
      <alignment vertical="center"/>
      <protection locked="0"/>
    </xf>
    <xf numFmtId="0" fontId="32" fillId="0" borderId="0" xfId="0" applyFont="1">
      <alignment vertical="center"/>
    </xf>
    <xf numFmtId="0" fontId="33" fillId="0" borderId="0" xfId="0" applyFont="1">
      <alignment vertical="center"/>
    </xf>
    <xf numFmtId="0" fontId="33" fillId="16" borderId="0" xfId="0" applyFont="1" applyFill="1">
      <alignment vertical="center"/>
    </xf>
    <xf numFmtId="0" fontId="19" fillId="0" borderId="11" xfId="0" applyFont="1" applyBorder="1" applyAlignment="1">
      <alignment horizontal="justify" vertical="center" wrapText="1"/>
    </xf>
    <xf numFmtId="0" fontId="19" fillId="0" borderId="11" xfId="0" applyFont="1" applyBorder="1" applyAlignment="1">
      <alignment horizontal="right" vertical="center" wrapText="1"/>
    </xf>
    <xf numFmtId="3" fontId="19" fillId="0" borderId="11" xfId="0" applyNumberFormat="1" applyFont="1" applyBorder="1" applyAlignment="1">
      <alignment horizontal="right" vertical="center" wrapText="1"/>
    </xf>
    <xf numFmtId="0" fontId="19" fillId="0" borderId="10"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1" xfId="0" applyFont="1" applyBorder="1" applyAlignment="1">
      <alignment horizontal="center" vertical="center" wrapText="1"/>
    </xf>
    <xf numFmtId="0" fontId="18" fillId="0" borderId="0" xfId="0" applyFont="1" applyAlignment="1">
      <alignment horizontal="right" vertical="center"/>
    </xf>
    <xf numFmtId="0" fontId="14" fillId="2" borderId="0" xfId="0" applyFont="1" applyFill="1">
      <alignment vertical="center"/>
    </xf>
    <xf numFmtId="0" fontId="18" fillId="12" borderId="1" xfId="0" applyFont="1" applyFill="1" applyBorder="1" applyAlignment="1" applyProtection="1">
      <alignment horizontal="center" vertical="center"/>
      <protection locked="0"/>
    </xf>
    <xf numFmtId="0" fontId="27" fillId="0" borderId="0" xfId="0" applyFont="1">
      <alignment vertical="center"/>
    </xf>
    <xf numFmtId="0" fontId="41" fillId="0" borderId="0" xfId="0" applyFont="1">
      <alignment vertical="center"/>
    </xf>
    <xf numFmtId="176" fontId="18" fillId="17" borderId="1" xfId="0" applyNumberFormat="1" applyFont="1" applyFill="1" applyBorder="1">
      <alignment vertical="center"/>
    </xf>
    <xf numFmtId="0" fontId="21" fillId="18" borderId="0" xfId="0" applyFont="1" applyFill="1">
      <alignment vertical="center"/>
    </xf>
    <xf numFmtId="0" fontId="15" fillId="18" borderId="0" xfId="0" applyFont="1" applyFill="1">
      <alignment vertical="center"/>
    </xf>
    <xf numFmtId="0" fontId="42" fillId="8" borderId="0" xfId="0" applyFont="1" applyFill="1">
      <alignment vertical="center"/>
    </xf>
    <xf numFmtId="0" fontId="43" fillId="8" borderId="0" xfId="0" applyFont="1" applyFill="1">
      <alignment vertical="center"/>
    </xf>
    <xf numFmtId="0" fontId="34" fillId="19" borderId="1" xfId="0" applyFont="1" applyFill="1" applyBorder="1" applyAlignment="1">
      <alignment horizontal="center" vertical="center"/>
    </xf>
    <xf numFmtId="0" fontId="20" fillId="19" borderId="1" xfId="0" applyFont="1" applyFill="1" applyBorder="1" applyAlignment="1">
      <alignment horizontal="center" vertical="center" wrapText="1"/>
    </xf>
    <xf numFmtId="0" fontId="34" fillId="19" borderId="16" xfId="0" applyFont="1" applyFill="1" applyBorder="1" applyAlignment="1">
      <alignment horizontal="center" vertical="center"/>
    </xf>
    <xf numFmtId="0" fontId="18" fillId="0" borderId="19" xfId="0" applyFont="1" applyBorder="1" applyAlignment="1">
      <alignment horizontal="left" vertical="center" indent="1"/>
    </xf>
    <xf numFmtId="176" fontId="14" fillId="17" borderId="1" xfId="0" applyNumberFormat="1" applyFont="1" applyFill="1" applyBorder="1">
      <alignment vertical="center"/>
    </xf>
    <xf numFmtId="0" fontId="37" fillId="0" borderId="19" xfId="0" applyFont="1" applyBorder="1" applyAlignment="1">
      <alignment horizontal="left" vertical="center" indent="1"/>
    </xf>
    <xf numFmtId="0" fontId="35" fillId="0" borderId="1" xfId="0" applyFont="1" applyBorder="1" applyAlignment="1">
      <alignment horizontal="left" vertical="center" indent="1"/>
    </xf>
    <xf numFmtId="0" fontId="34" fillId="0" borderId="1" xfId="0" applyFont="1" applyBorder="1" applyAlignment="1">
      <alignment horizontal="left" vertical="center" indent="1"/>
    </xf>
    <xf numFmtId="0" fontId="44" fillId="18" borderId="0" xfId="0" applyFont="1" applyFill="1" applyAlignment="1">
      <alignment horizontal="center" vertical="center"/>
    </xf>
    <xf numFmtId="0" fontId="44" fillId="18" borderId="0" xfId="0" applyFont="1" applyFill="1" applyAlignment="1">
      <alignment horizontal="right" vertical="center"/>
    </xf>
    <xf numFmtId="0" fontId="21" fillId="18" borderId="0" xfId="0" applyFont="1" applyFill="1" applyAlignment="1">
      <alignment horizontal="center" vertical="center"/>
    </xf>
    <xf numFmtId="0" fontId="14" fillId="18" borderId="0" xfId="0" applyFont="1" applyFill="1">
      <alignment vertical="center"/>
    </xf>
    <xf numFmtId="0" fontId="45" fillId="20" borderId="0" xfId="0" applyFont="1" applyFill="1" applyAlignment="1">
      <alignment horizontal="center" vertical="center"/>
    </xf>
    <xf numFmtId="0" fontId="46" fillId="20" borderId="0" xfId="0" applyFont="1" applyFill="1" applyAlignment="1">
      <alignment horizontal="center" vertical="center"/>
    </xf>
    <xf numFmtId="0" fontId="43" fillId="0" borderId="0" xfId="0" applyFont="1">
      <alignment vertical="center"/>
    </xf>
    <xf numFmtId="0" fontId="46" fillId="0" borderId="0" xfId="0" applyFont="1" applyAlignment="1">
      <alignment horizontal="center" vertical="center"/>
    </xf>
    <xf numFmtId="0" fontId="43" fillId="20" borderId="0" xfId="0" applyFont="1" applyFill="1">
      <alignment vertical="center"/>
    </xf>
    <xf numFmtId="0" fontId="45" fillId="0" borderId="0" xfId="0" applyFont="1" applyAlignment="1">
      <alignment horizontal="center" vertical="center"/>
    </xf>
    <xf numFmtId="180" fontId="18" fillId="17" borderId="1" xfId="0" applyNumberFormat="1" applyFont="1" applyFill="1" applyBorder="1" applyAlignment="1">
      <alignment horizontal="right" vertical="center"/>
    </xf>
    <xf numFmtId="177" fontId="46" fillId="0" borderId="0" xfId="0" applyNumberFormat="1" applyFont="1" applyAlignment="1">
      <alignment horizontal="center" vertical="center"/>
    </xf>
    <xf numFmtId="0" fontId="34" fillId="19" borderId="32" xfId="0" applyFont="1" applyFill="1" applyBorder="1">
      <alignment vertical="center"/>
    </xf>
    <xf numFmtId="0" fontId="34" fillId="0" borderId="0" xfId="0" applyFont="1">
      <alignment vertical="center"/>
    </xf>
    <xf numFmtId="0" fontId="37" fillId="0" borderId="2" xfId="0" applyFont="1" applyBorder="1">
      <alignment vertical="center"/>
    </xf>
    <xf numFmtId="0" fontId="37" fillId="0" borderId="0" xfId="0" applyFont="1">
      <alignment vertical="center"/>
    </xf>
    <xf numFmtId="176" fontId="18" fillId="17" borderId="1" xfId="0" applyNumberFormat="1" applyFont="1" applyFill="1" applyBorder="1" applyAlignment="1">
      <alignment horizontal="right" vertical="center"/>
    </xf>
    <xf numFmtId="176" fontId="18" fillId="0" borderId="0" xfId="0" applyNumberFormat="1" applyFont="1">
      <alignment vertical="center"/>
    </xf>
    <xf numFmtId="0" fontId="27" fillId="0" borderId="1" xfId="0" applyFont="1" applyBorder="1" applyAlignment="1">
      <alignment horizontal="left" vertical="center" indent="1"/>
    </xf>
    <xf numFmtId="0" fontId="36" fillId="0" borderId="1" xfId="0" applyFont="1" applyBorder="1" applyAlignment="1">
      <alignment horizontal="left" vertical="center" wrapText="1" indent="1"/>
    </xf>
    <xf numFmtId="0" fontId="18" fillId="11" borderId="1" xfId="0" applyFont="1" applyFill="1" applyBorder="1" applyAlignment="1">
      <alignment horizontal="center" vertical="center"/>
    </xf>
    <xf numFmtId="185" fontId="18" fillId="0" borderId="1" xfId="0" applyNumberFormat="1" applyFont="1" applyBorder="1" applyAlignment="1">
      <alignment horizontal="center" vertical="center"/>
    </xf>
    <xf numFmtId="185" fontId="37" fillId="0" borderId="1" xfId="0" applyNumberFormat="1" applyFont="1" applyBorder="1" applyAlignment="1">
      <alignment horizontal="center" vertical="center"/>
    </xf>
    <xf numFmtId="0" fontId="34" fillId="19" borderId="39" xfId="0" applyFont="1" applyFill="1" applyBorder="1" applyAlignment="1">
      <alignment horizontal="center" vertical="center"/>
    </xf>
    <xf numFmtId="0" fontId="35" fillId="0" borderId="1" xfId="0" applyFont="1" applyBorder="1" applyAlignment="1">
      <alignment horizontal="left" vertical="center" wrapText="1" indent="1"/>
    </xf>
    <xf numFmtId="176" fontId="14" fillId="17" borderId="1" xfId="0" applyNumberFormat="1" applyFont="1" applyFill="1" applyBorder="1" applyAlignment="1">
      <alignment horizontal="right" vertical="center"/>
    </xf>
    <xf numFmtId="176" fontId="18" fillId="17" borderId="1" xfId="0" applyNumberFormat="1" applyFont="1" applyFill="1" applyBorder="1" applyAlignment="1">
      <alignment horizontal="center" vertical="center"/>
    </xf>
    <xf numFmtId="0" fontId="48" fillId="0" borderId="0" xfId="0" applyFont="1" applyAlignment="1">
      <alignment horizontal="center" vertical="center"/>
    </xf>
    <xf numFmtId="0" fontId="37" fillId="0" borderId="1" xfId="0" applyFont="1" applyBorder="1" applyAlignment="1">
      <alignment horizontal="left" vertical="center" indent="1"/>
    </xf>
    <xf numFmtId="0" fontId="49" fillId="0" borderId="0" xfId="0" applyFont="1">
      <alignment vertical="center"/>
    </xf>
    <xf numFmtId="0" fontId="50" fillId="0" borderId="0" xfId="1" applyFont="1">
      <alignment vertical="center"/>
    </xf>
    <xf numFmtId="0" fontId="14" fillId="0" borderId="0" xfId="0" applyFont="1" applyAlignment="1">
      <alignment horizontal="justify" vertical="center" wrapText="1"/>
    </xf>
    <xf numFmtId="3" fontId="14" fillId="0" borderId="0" xfId="0" applyNumberFormat="1" applyFont="1" applyAlignment="1">
      <alignment horizontal="right" vertical="center" wrapText="1"/>
    </xf>
    <xf numFmtId="0" fontId="14" fillId="0" borderId="0" xfId="0" applyFont="1" applyAlignment="1">
      <alignment horizontal="right" vertical="center" wrapText="1"/>
    </xf>
    <xf numFmtId="3" fontId="14" fillId="0" borderId="0" xfId="0" applyNumberFormat="1" applyFont="1">
      <alignment vertical="center"/>
    </xf>
    <xf numFmtId="0" fontId="20" fillId="6" borderId="43" xfId="0" applyFont="1" applyFill="1" applyBorder="1">
      <alignment vertical="center"/>
    </xf>
    <xf numFmtId="0" fontId="20" fillId="7" borderId="5" xfId="0" applyFont="1" applyFill="1" applyBorder="1">
      <alignment vertical="center"/>
    </xf>
    <xf numFmtId="0" fontId="20" fillId="6" borderId="5" xfId="0" applyFont="1" applyFill="1" applyBorder="1">
      <alignment vertical="center"/>
    </xf>
    <xf numFmtId="0" fontId="15" fillId="10" borderId="0" xfId="0" applyFont="1" applyFill="1" applyAlignment="1">
      <alignment horizontal="right" vertical="center" indent="1"/>
    </xf>
    <xf numFmtId="176" fontId="38" fillId="6" borderId="42" xfId="0" applyNumberFormat="1" applyFont="1" applyFill="1" applyBorder="1" applyAlignment="1">
      <alignment horizontal="right" vertical="center" indent="1"/>
    </xf>
    <xf numFmtId="177" fontId="38" fillId="7" borderId="4" xfId="0" applyNumberFormat="1" applyFont="1" applyFill="1" applyBorder="1" applyAlignment="1">
      <alignment horizontal="right" vertical="center" indent="1"/>
    </xf>
    <xf numFmtId="176" fontId="38" fillId="6" borderId="4" xfId="0" applyNumberFormat="1" applyFont="1" applyFill="1" applyBorder="1" applyAlignment="1">
      <alignment horizontal="right" vertical="center" indent="1"/>
    </xf>
    <xf numFmtId="3" fontId="14" fillId="0" borderId="0" xfId="0" applyNumberFormat="1" applyFont="1" applyAlignment="1">
      <alignment horizontal="right" vertical="center" wrapText="1" indent="1"/>
    </xf>
    <xf numFmtId="0" fontId="14" fillId="0" borderId="0" xfId="0" applyFont="1" applyAlignment="1">
      <alignment horizontal="right" vertical="center" indent="1"/>
    </xf>
    <xf numFmtId="184" fontId="14" fillId="0" borderId="3" xfId="0" applyNumberFormat="1" applyFont="1" applyBorder="1" applyAlignment="1">
      <alignment horizontal="right" vertical="center" indent="1"/>
    </xf>
    <xf numFmtId="0" fontId="7" fillId="0" borderId="0" xfId="0" applyFont="1">
      <alignment vertical="center"/>
    </xf>
    <xf numFmtId="0" fontId="9" fillId="0" borderId="0" xfId="0" applyFont="1">
      <alignment vertical="center"/>
    </xf>
    <xf numFmtId="3" fontId="51" fillId="0" borderId="0" xfId="0" applyNumberFormat="1" applyFont="1" applyAlignment="1">
      <alignment vertical="center" wrapText="1"/>
    </xf>
    <xf numFmtId="3" fontId="0" fillId="0" borderId="0" xfId="0" applyNumberFormat="1">
      <alignment vertical="center"/>
    </xf>
    <xf numFmtId="3" fontId="51" fillId="0" borderId="0" xfId="0" applyNumberFormat="1" applyFont="1">
      <alignment vertical="center"/>
    </xf>
    <xf numFmtId="0" fontId="14" fillId="0" borderId="29" xfId="0" applyFont="1" applyBorder="1">
      <alignment vertical="center"/>
    </xf>
    <xf numFmtId="0" fontId="19" fillId="0" borderId="6" xfId="0" applyFont="1" applyBorder="1">
      <alignment vertical="center"/>
    </xf>
    <xf numFmtId="0" fontId="14" fillId="0" borderId="6" xfId="0" applyFont="1" applyBorder="1">
      <alignment vertical="center"/>
    </xf>
    <xf numFmtId="0" fontId="14" fillId="0" borderId="45" xfId="0" applyFont="1" applyBorder="1">
      <alignment vertical="center"/>
    </xf>
    <xf numFmtId="0" fontId="14" fillId="0" borderId="3" xfId="0" applyFont="1" applyBorder="1">
      <alignment vertical="center"/>
    </xf>
    <xf numFmtId="0" fontId="14" fillId="0" borderId="8" xfId="0" applyFont="1" applyBorder="1">
      <alignment vertical="center"/>
    </xf>
    <xf numFmtId="0" fontId="14" fillId="0" borderId="4" xfId="0" applyFont="1" applyBorder="1">
      <alignment vertical="center"/>
    </xf>
    <xf numFmtId="0" fontId="19" fillId="0" borderId="7" xfId="0" applyFont="1" applyBorder="1">
      <alignment vertical="center"/>
    </xf>
    <xf numFmtId="0" fontId="14" fillId="0" borderId="7" xfId="0" applyFont="1" applyBorder="1">
      <alignment vertical="center"/>
    </xf>
    <xf numFmtId="0" fontId="14" fillId="0" borderId="5" xfId="0" applyFont="1" applyBorder="1">
      <alignment vertical="center"/>
    </xf>
    <xf numFmtId="176" fontId="14" fillId="17" borderId="4" xfId="0" applyNumberFormat="1" applyFont="1" applyFill="1" applyBorder="1" applyAlignment="1">
      <alignment horizontal="right" vertical="center"/>
    </xf>
    <xf numFmtId="0" fontId="18" fillId="0" borderId="3" xfId="0" applyFont="1" applyBorder="1" applyAlignment="1">
      <alignment horizontal="left" vertical="center"/>
    </xf>
    <xf numFmtId="0" fontId="14" fillId="12" borderId="1" xfId="0" applyFont="1" applyFill="1" applyBorder="1" applyAlignment="1" applyProtection="1">
      <alignment horizontal="center" vertical="center"/>
      <protection locked="0"/>
    </xf>
    <xf numFmtId="0" fontId="34" fillId="0" borderId="1" xfId="0" applyFont="1" applyBorder="1" applyAlignment="1">
      <alignment horizontal="left" vertical="center"/>
    </xf>
    <xf numFmtId="0" fontId="14" fillId="15" borderId="22" xfId="0" applyFont="1" applyFill="1" applyBorder="1">
      <alignment vertical="center"/>
    </xf>
    <xf numFmtId="0" fontId="18" fillId="15" borderId="28" xfId="0" applyFont="1" applyFill="1" applyBorder="1">
      <alignment vertical="center"/>
    </xf>
    <xf numFmtId="0" fontId="19" fillId="15" borderId="1" xfId="0" applyFont="1" applyFill="1" applyBorder="1">
      <alignment vertical="center"/>
    </xf>
    <xf numFmtId="0" fontId="19" fillId="0" borderId="0" xfId="0" applyFont="1" applyAlignment="1">
      <alignment horizontal="right" vertical="center"/>
    </xf>
    <xf numFmtId="177" fontId="38" fillId="7" borderId="27" xfId="0" applyNumberFormat="1" applyFont="1" applyFill="1" applyBorder="1" applyAlignment="1">
      <alignment horizontal="right" vertical="center" indent="1"/>
    </xf>
    <xf numFmtId="0" fontId="20" fillId="7" borderId="35" xfId="0" applyFont="1" applyFill="1" applyBorder="1">
      <alignment vertical="center"/>
    </xf>
    <xf numFmtId="176" fontId="34" fillId="6" borderId="24" xfId="0" applyNumberFormat="1" applyFont="1" applyFill="1" applyBorder="1" applyAlignment="1">
      <alignment horizontal="right" vertical="center" indent="1"/>
    </xf>
    <xf numFmtId="177" fontId="34" fillId="6" borderId="24" xfId="0" applyNumberFormat="1" applyFont="1" applyFill="1" applyBorder="1">
      <alignment vertical="center"/>
    </xf>
    <xf numFmtId="177" fontId="34" fillId="6" borderId="27" xfId="0" applyNumberFormat="1" applyFont="1" applyFill="1" applyBorder="1">
      <alignment vertical="center"/>
    </xf>
    <xf numFmtId="0" fontId="14" fillId="0" borderId="46" xfId="0" applyFont="1" applyBorder="1">
      <alignment vertical="center"/>
    </xf>
    <xf numFmtId="0" fontId="14" fillId="0" borderId="11" xfId="0" applyFont="1" applyBorder="1">
      <alignment vertical="center"/>
    </xf>
    <xf numFmtId="3" fontId="27" fillId="7" borderId="27" xfId="0" applyNumberFormat="1" applyFont="1" applyFill="1" applyBorder="1" applyAlignment="1">
      <alignment horizontal="right" vertical="center" wrapText="1" indent="1"/>
    </xf>
    <xf numFmtId="0" fontId="38" fillId="7" borderId="35" xfId="0" applyFont="1" applyFill="1" applyBorder="1">
      <alignment vertical="center"/>
    </xf>
    <xf numFmtId="3" fontId="27" fillId="9" borderId="24" xfId="0" applyNumberFormat="1" applyFont="1" applyFill="1" applyBorder="1" applyAlignment="1">
      <alignment horizontal="right" vertical="center" wrapText="1" indent="1"/>
    </xf>
    <xf numFmtId="0" fontId="38" fillId="9" borderId="49" xfId="0" applyFont="1" applyFill="1" applyBorder="1">
      <alignment vertical="center"/>
    </xf>
    <xf numFmtId="0" fontId="38" fillId="9" borderId="50" xfId="0" applyFont="1" applyFill="1" applyBorder="1">
      <alignment vertical="center"/>
    </xf>
    <xf numFmtId="0" fontId="38" fillId="7" borderId="34" xfId="0" applyFont="1" applyFill="1" applyBorder="1">
      <alignment vertical="center"/>
    </xf>
    <xf numFmtId="176" fontId="27" fillId="6" borderId="50" xfId="0" applyNumberFormat="1" applyFont="1" applyFill="1" applyBorder="1">
      <alignment vertical="center"/>
    </xf>
    <xf numFmtId="176" fontId="27" fillId="7" borderId="7" xfId="0" applyNumberFormat="1" applyFont="1" applyFill="1" applyBorder="1">
      <alignment vertical="center"/>
    </xf>
    <xf numFmtId="176" fontId="38" fillId="6" borderId="61" xfId="0" applyNumberFormat="1" applyFont="1" applyFill="1" applyBorder="1" applyAlignment="1">
      <alignment horizontal="right" vertical="center" indent="1"/>
    </xf>
    <xf numFmtId="0" fontId="20" fillId="6" borderId="51" xfId="0" applyFont="1" applyFill="1" applyBorder="1">
      <alignment vertical="center"/>
    </xf>
    <xf numFmtId="177" fontId="38" fillId="7" borderId="36" xfId="0" applyNumberFormat="1" applyFont="1" applyFill="1" applyBorder="1" applyAlignment="1">
      <alignment horizontal="right" vertical="center" indent="1"/>
    </xf>
    <xf numFmtId="0" fontId="20" fillId="7" borderId="38" xfId="0" applyFont="1" applyFill="1" applyBorder="1">
      <alignment vertical="center"/>
    </xf>
    <xf numFmtId="176" fontId="38" fillId="6" borderId="36" xfId="0" applyNumberFormat="1" applyFont="1" applyFill="1" applyBorder="1" applyAlignment="1">
      <alignment horizontal="right" vertical="center" indent="1"/>
    </xf>
    <xf numFmtId="0" fontId="20" fillId="6" borderId="38" xfId="0" applyFont="1" applyFill="1" applyBorder="1">
      <alignment vertical="center"/>
    </xf>
    <xf numFmtId="177" fontId="38" fillId="7" borderId="33" xfId="0" applyNumberFormat="1" applyFont="1" applyFill="1" applyBorder="1" applyAlignment="1">
      <alignment horizontal="right" vertical="center" indent="1"/>
    </xf>
    <xf numFmtId="0" fontId="20" fillId="7" borderId="37" xfId="0" applyFont="1" applyFill="1" applyBorder="1">
      <alignment vertical="center"/>
    </xf>
    <xf numFmtId="176" fontId="34" fillId="6" borderId="48" xfId="0" applyNumberFormat="1" applyFont="1" applyFill="1" applyBorder="1" applyAlignment="1">
      <alignment horizontal="right" vertical="center" indent="1"/>
    </xf>
    <xf numFmtId="0" fontId="14" fillId="0" borderId="58" xfId="0" applyFont="1" applyBorder="1">
      <alignment vertical="center"/>
    </xf>
    <xf numFmtId="3" fontId="27" fillId="9" borderId="50" xfId="0" applyNumberFormat="1" applyFont="1" applyFill="1" applyBorder="1" applyAlignment="1">
      <alignment horizontal="right" vertical="center" wrapText="1" indent="1"/>
    </xf>
    <xf numFmtId="3" fontId="27" fillId="7" borderId="34" xfId="0" applyNumberFormat="1" applyFont="1" applyFill="1" applyBorder="1" applyAlignment="1">
      <alignment horizontal="right" vertical="center" wrapText="1" indent="1"/>
    </xf>
    <xf numFmtId="0" fontId="20" fillId="6" borderId="49" xfId="0" applyFont="1" applyFill="1" applyBorder="1">
      <alignment vertical="center"/>
    </xf>
    <xf numFmtId="0" fontId="20" fillId="6" borderId="32" xfId="0" applyFont="1" applyFill="1" applyBorder="1">
      <alignment vertical="center"/>
    </xf>
    <xf numFmtId="176" fontId="38" fillId="0" borderId="50" xfId="0" applyNumberFormat="1" applyFont="1" applyBorder="1" applyAlignment="1">
      <alignment horizontal="right" vertical="center" indent="1"/>
    </xf>
    <xf numFmtId="176" fontId="38" fillId="0" borderId="24" xfId="0" applyNumberFormat="1" applyFont="1" applyBorder="1" applyAlignment="1">
      <alignment horizontal="right" vertical="center" indent="1"/>
    </xf>
    <xf numFmtId="177" fontId="38" fillId="0" borderId="34" xfId="0" applyNumberFormat="1" applyFont="1" applyBorder="1" applyAlignment="1">
      <alignment horizontal="right" vertical="center" indent="1"/>
    </xf>
    <xf numFmtId="177" fontId="38" fillId="0" borderId="27" xfId="0" applyNumberFormat="1" applyFont="1" applyBorder="1" applyAlignment="1">
      <alignment horizontal="right" vertical="center" indent="1"/>
    </xf>
    <xf numFmtId="0" fontId="20" fillId="0" borderId="49" xfId="0" applyFont="1" applyBorder="1" applyAlignment="1">
      <alignment horizontal="left" vertical="center" wrapText="1"/>
    </xf>
    <xf numFmtId="0" fontId="20" fillId="0" borderId="35" xfId="0" applyFont="1" applyBorder="1" applyAlignment="1">
      <alignment horizontal="left" vertical="center" wrapText="1"/>
    </xf>
    <xf numFmtId="0" fontId="20" fillId="7" borderId="35" xfId="0" applyFont="1" applyFill="1" applyBorder="1" applyAlignment="1">
      <alignment horizontal="left" vertical="center" wrapText="1"/>
    </xf>
    <xf numFmtId="0" fontId="20" fillId="7" borderId="37" xfId="0" applyFont="1" applyFill="1" applyBorder="1" applyAlignment="1">
      <alignment horizontal="left" vertical="center" wrapText="1"/>
    </xf>
    <xf numFmtId="0" fontId="31" fillId="0" borderId="0" xfId="0" applyFont="1">
      <alignment vertical="center"/>
    </xf>
    <xf numFmtId="3" fontId="27" fillId="0" borderId="27" xfId="0" applyNumberFormat="1" applyFont="1" applyBorder="1" applyAlignment="1">
      <alignment horizontal="right" vertical="center" indent="1"/>
    </xf>
    <xf numFmtId="3" fontId="27" fillId="0" borderId="27" xfId="0" applyNumberFormat="1" applyFont="1" applyBorder="1">
      <alignment vertical="center"/>
    </xf>
    <xf numFmtId="3" fontId="27" fillId="9" borderId="4" xfId="0" applyNumberFormat="1" applyFont="1" applyFill="1" applyBorder="1" applyAlignment="1">
      <alignment horizontal="right" vertical="center" wrapText="1" indent="1"/>
    </xf>
    <xf numFmtId="0" fontId="38" fillId="9" borderId="5" xfId="0" applyFont="1" applyFill="1" applyBorder="1">
      <alignment vertical="center"/>
    </xf>
    <xf numFmtId="176" fontId="38" fillId="9" borderId="50" xfId="0" applyNumberFormat="1" applyFont="1" applyFill="1" applyBorder="1" applyAlignment="1">
      <alignment horizontal="right" vertical="center" indent="1"/>
    </xf>
    <xf numFmtId="177" fontId="38" fillId="7" borderId="34" xfId="0" applyNumberFormat="1" applyFont="1" applyFill="1" applyBorder="1" applyAlignment="1">
      <alignment horizontal="right" vertical="center" indent="1"/>
    </xf>
    <xf numFmtId="176" fontId="38" fillId="9" borderId="24" xfId="0" applyNumberFormat="1" applyFont="1" applyFill="1" applyBorder="1" applyAlignment="1">
      <alignment horizontal="right" vertical="center" indent="1"/>
    </xf>
    <xf numFmtId="176" fontId="14" fillId="9" borderId="48" xfId="0" applyNumberFormat="1" applyFont="1" applyFill="1" applyBorder="1">
      <alignment vertical="center"/>
    </xf>
    <xf numFmtId="176" fontId="14" fillId="7" borderId="33" xfId="0" applyNumberFormat="1" applyFont="1" applyFill="1" applyBorder="1">
      <alignment vertical="center"/>
    </xf>
    <xf numFmtId="0" fontId="20" fillId="9" borderId="49" xfId="0" applyFont="1" applyFill="1" applyBorder="1">
      <alignment vertical="center"/>
    </xf>
    <xf numFmtId="0" fontId="20" fillId="0" borderId="50" xfId="0" applyFont="1" applyBorder="1" applyAlignment="1">
      <alignment horizontal="left" vertical="center" wrapText="1"/>
    </xf>
    <xf numFmtId="0" fontId="20" fillId="0" borderId="34" xfId="0" applyFont="1" applyBorder="1" applyAlignment="1">
      <alignment horizontal="left" vertical="center" wrapText="1"/>
    </xf>
    <xf numFmtId="0" fontId="20" fillId="9" borderId="50" xfId="0" applyFont="1" applyFill="1" applyBorder="1">
      <alignment vertical="center"/>
    </xf>
    <xf numFmtId="0" fontId="20" fillId="7" borderId="34" xfId="0" applyFont="1" applyFill="1" applyBorder="1" applyAlignment="1">
      <alignment horizontal="left" vertical="center" wrapText="1"/>
    </xf>
    <xf numFmtId="0" fontId="20" fillId="9" borderId="32" xfId="0" applyFont="1" applyFill="1" applyBorder="1">
      <alignment vertical="center"/>
    </xf>
    <xf numFmtId="0" fontId="19" fillId="0" borderId="37" xfId="0" applyFont="1" applyBorder="1" applyAlignment="1">
      <alignment horizontal="left" vertical="center"/>
    </xf>
    <xf numFmtId="0" fontId="19" fillId="0" borderId="35" xfId="0" applyFont="1" applyBorder="1" applyAlignment="1">
      <alignment horizontal="left" vertical="center"/>
    </xf>
    <xf numFmtId="0" fontId="53" fillId="0" borderId="48" xfId="0" applyFont="1" applyBorder="1">
      <alignment vertical="center"/>
    </xf>
    <xf numFmtId="0" fontId="53" fillId="0" borderId="50" xfId="0" applyFont="1" applyBorder="1">
      <alignment vertical="center"/>
    </xf>
    <xf numFmtId="0" fontId="53" fillId="0" borderId="32" xfId="0" applyFont="1" applyBorder="1">
      <alignment vertical="center"/>
    </xf>
    <xf numFmtId="0" fontId="53" fillId="0" borderId="61" xfId="0" applyFont="1" applyBorder="1">
      <alignment vertical="center"/>
    </xf>
    <xf numFmtId="0" fontId="53" fillId="0" borderId="44" xfId="0" applyFont="1" applyBorder="1">
      <alignment vertical="center"/>
    </xf>
    <xf numFmtId="0" fontId="53" fillId="0" borderId="51" xfId="0" applyFont="1" applyBorder="1">
      <alignment vertical="center"/>
    </xf>
    <xf numFmtId="0" fontId="20" fillId="7" borderId="5" xfId="0" applyFont="1" applyFill="1" applyBorder="1" applyAlignment="1">
      <alignment horizontal="center" vertical="center"/>
    </xf>
    <xf numFmtId="0" fontId="19" fillId="6" borderId="35" xfId="0" applyFont="1" applyFill="1" applyBorder="1" applyAlignment="1">
      <alignment horizontal="left" vertical="center"/>
    </xf>
    <xf numFmtId="0" fontId="19" fillId="6" borderId="37" xfId="0" applyFont="1" applyFill="1" applyBorder="1" applyAlignment="1">
      <alignment horizontal="left" vertical="center"/>
    </xf>
    <xf numFmtId="0" fontId="20" fillId="6" borderId="34" xfId="0" applyFont="1" applyFill="1" applyBorder="1" applyAlignment="1">
      <alignment horizontal="center" vertical="center"/>
    </xf>
    <xf numFmtId="0" fontId="20" fillId="7" borderId="7" xfId="0" applyFont="1" applyFill="1" applyBorder="1" applyAlignment="1">
      <alignment horizontal="center" vertical="center"/>
    </xf>
    <xf numFmtId="177" fontId="34" fillId="7" borderId="36" xfId="0" applyNumberFormat="1" applyFont="1" applyFill="1" applyBorder="1" applyAlignment="1">
      <alignment horizontal="right" vertical="center" indent="1"/>
    </xf>
    <xf numFmtId="177" fontId="34" fillId="7" borderId="4" xfId="0" applyNumberFormat="1" applyFont="1" applyFill="1" applyBorder="1" applyAlignment="1">
      <alignment horizontal="right" vertical="center" indent="1"/>
    </xf>
    <xf numFmtId="177" fontId="34" fillId="7" borderId="4" xfId="0" applyNumberFormat="1" applyFont="1" applyFill="1" applyBorder="1">
      <alignment vertical="center"/>
    </xf>
    <xf numFmtId="3" fontId="27" fillId="6" borderId="33" xfId="0" applyNumberFormat="1" applyFont="1" applyFill="1" applyBorder="1" applyAlignment="1">
      <alignment horizontal="right" vertical="center" indent="1"/>
    </xf>
    <xf numFmtId="3" fontId="27" fillId="6" borderId="27" xfId="0" applyNumberFormat="1" applyFont="1" applyFill="1" applyBorder="1" applyAlignment="1">
      <alignment horizontal="right" vertical="center" indent="1"/>
    </xf>
    <xf numFmtId="3" fontId="27" fillId="6" borderId="34" xfId="0" applyNumberFormat="1" applyFont="1" applyFill="1" applyBorder="1">
      <alignment vertical="center"/>
    </xf>
    <xf numFmtId="0" fontId="20" fillId="6" borderId="49" xfId="0" applyFont="1" applyFill="1" applyBorder="1" applyAlignment="1">
      <alignment horizontal="center" vertical="center"/>
    </xf>
    <xf numFmtId="0" fontId="19" fillId="6" borderId="35" xfId="0" applyFont="1" applyFill="1" applyBorder="1" applyAlignment="1">
      <alignment horizontal="center" vertical="center"/>
    </xf>
    <xf numFmtId="0" fontId="20" fillId="6" borderId="50" xfId="0" applyFont="1" applyFill="1" applyBorder="1" applyAlignment="1">
      <alignment horizontal="center" vertical="center"/>
    </xf>
    <xf numFmtId="176" fontId="27" fillId="6" borderId="4" xfId="0" applyNumberFormat="1" applyFont="1" applyFill="1" applyBorder="1" applyAlignment="1">
      <alignment horizontal="right" vertical="center" indent="1"/>
    </xf>
    <xf numFmtId="177" fontId="27" fillId="7" borderId="4" xfId="0" applyNumberFormat="1" applyFont="1" applyFill="1" applyBorder="1" applyAlignment="1">
      <alignment horizontal="right" vertical="center" wrapText="1" indent="1"/>
    </xf>
    <xf numFmtId="0" fontId="14" fillId="0" borderId="6" xfId="0" applyFont="1" applyBorder="1" applyAlignment="1">
      <alignment horizontal="center" vertical="center"/>
    </xf>
    <xf numFmtId="0" fontId="18" fillId="11" borderId="1" xfId="0" applyFont="1" applyFill="1" applyBorder="1" applyAlignment="1" applyProtection="1">
      <alignment horizontal="center" vertical="center"/>
      <protection locked="0"/>
    </xf>
    <xf numFmtId="0" fontId="14" fillId="11" borderId="5" xfId="0" applyFont="1" applyFill="1" applyBorder="1">
      <alignment vertical="center"/>
    </xf>
    <xf numFmtId="2" fontId="19" fillId="0" borderId="11" xfId="0" applyNumberFormat="1" applyFont="1" applyBorder="1" applyAlignment="1">
      <alignment horizontal="right" vertical="center" wrapText="1"/>
    </xf>
    <xf numFmtId="0" fontId="19" fillId="0" borderId="1" xfId="0" applyFont="1" applyBorder="1" applyAlignment="1">
      <alignment horizontal="left" vertical="center" indent="1"/>
    </xf>
    <xf numFmtId="0" fontId="27" fillId="15" borderId="1" xfId="0" applyFont="1" applyFill="1" applyBorder="1" applyAlignment="1">
      <alignment horizontal="left" vertical="center"/>
    </xf>
    <xf numFmtId="0" fontId="14" fillId="15" borderId="22" xfId="0" applyFont="1" applyFill="1" applyBorder="1" applyAlignment="1">
      <alignment horizontal="center" vertical="center"/>
    </xf>
    <xf numFmtId="0" fontId="14" fillId="15" borderId="1" xfId="0" applyFont="1" applyFill="1" applyBorder="1" applyAlignment="1">
      <alignment horizontal="left" vertical="center"/>
    </xf>
    <xf numFmtId="0" fontId="14" fillId="15" borderId="30" xfId="0" applyFont="1" applyFill="1" applyBorder="1" applyAlignment="1">
      <alignment horizontal="center" vertical="center"/>
    </xf>
    <xf numFmtId="0" fontId="14" fillId="15" borderId="28" xfId="0" applyFont="1" applyFill="1" applyBorder="1" applyAlignment="1">
      <alignment horizontal="center" vertical="center"/>
    </xf>
    <xf numFmtId="0" fontId="14" fillId="12" borderId="1" xfId="0" applyFont="1" applyFill="1" applyBorder="1" applyAlignment="1" applyProtection="1">
      <alignment horizontal="center" vertical="center"/>
      <protection locked="0"/>
    </xf>
    <xf numFmtId="0" fontId="14" fillId="12" borderId="28" xfId="0" applyFont="1" applyFill="1" applyBorder="1" applyAlignment="1" applyProtection="1">
      <alignment horizontal="center" vertical="center"/>
      <protection locked="0"/>
    </xf>
    <xf numFmtId="0" fontId="19" fillId="0" borderId="14" xfId="0" applyFont="1" applyBorder="1" applyAlignment="1">
      <alignment horizontal="center" vertical="center" wrapText="1"/>
    </xf>
    <xf numFmtId="0" fontId="19" fillId="0" borderId="9" xfId="0" applyFont="1" applyBorder="1" applyAlignment="1">
      <alignment horizontal="center" vertical="center" wrapText="1"/>
    </xf>
    <xf numFmtId="38" fontId="14" fillId="11" borderId="28" xfId="4" applyFont="1" applyFill="1" applyBorder="1" applyAlignment="1" applyProtection="1">
      <alignment horizontal="center" vertical="center"/>
      <protection locked="0"/>
    </xf>
    <xf numFmtId="0" fontId="19" fillId="0" borderId="12" xfId="0" applyFont="1" applyBorder="1" applyAlignment="1">
      <alignment horizontal="center" vertical="center" wrapText="1"/>
    </xf>
    <xf numFmtId="0" fontId="55" fillId="0" borderId="1" xfId="0" applyFont="1" applyBorder="1" applyAlignment="1">
      <alignment horizontal="right" vertical="center"/>
    </xf>
    <xf numFmtId="0" fontId="19" fillId="0" borderId="15"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10" xfId="0" applyFont="1" applyBorder="1" applyAlignment="1">
      <alignment horizontal="center" vertical="center" wrapText="1"/>
    </xf>
    <xf numFmtId="0" fontId="14" fillId="19" borderId="1" xfId="0" applyFont="1" applyFill="1" applyBorder="1" applyAlignment="1">
      <alignment horizontal="left" vertical="center"/>
    </xf>
    <xf numFmtId="0" fontId="46" fillId="20" borderId="0" xfId="0" applyFont="1" applyFill="1" applyAlignment="1">
      <alignment horizontal="center" vertical="center"/>
    </xf>
    <xf numFmtId="0" fontId="36" fillId="19" borderId="25" xfId="0" applyFont="1" applyFill="1" applyBorder="1" applyAlignment="1">
      <alignment horizontal="center" vertical="center"/>
    </xf>
    <xf numFmtId="0" fontId="36" fillId="19" borderId="26" xfId="0" applyFont="1" applyFill="1" applyBorder="1" applyAlignment="1">
      <alignment horizontal="center" vertical="center"/>
    </xf>
    <xf numFmtId="0" fontId="36" fillId="19" borderId="19" xfId="0" applyFont="1" applyFill="1" applyBorder="1" applyAlignment="1">
      <alignment horizontal="center" vertical="center"/>
    </xf>
    <xf numFmtId="0" fontId="36" fillId="19" borderId="1" xfId="0" applyFont="1" applyFill="1" applyBorder="1" applyAlignment="1">
      <alignment horizontal="center" vertical="center"/>
    </xf>
    <xf numFmtId="178" fontId="44" fillId="18" borderId="26" xfId="0" applyNumberFormat="1" applyFont="1" applyFill="1" applyBorder="1" applyAlignment="1">
      <alignment horizontal="center" vertical="center"/>
    </xf>
    <xf numFmtId="178" fontId="44" fillId="18" borderId="23" xfId="0" applyNumberFormat="1" applyFont="1" applyFill="1" applyBorder="1" applyAlignment="1">
      <alignment horizontal="center" vertical="center"/>
    </xf>
    <xf numFmtId="179" fontId="44" fillId="18" borderId="1" xfId="0" applyNumberFormat="1" applyFont="1" applyFill="1" applyBorder="1" applyAlignment="1">
      <alignment horizontal="center" vertical="center"/>
    </xf>
    <xf numFmtId="179" fontId="44" fillId="18" borderId="20" xfId="0" applyNumberFormat="1" applyFont="1" applyFill="1" applyBorder="1" applyAlignment="1">
      <alignment horizontal="center" vertical="center"/>
    </xf>
    <xf numFmtId="0" fontId="34" fillId="0" borderId="1" xfId="0" applyFont="1" applyBorder="1" applyAlignment="1">
      <alignment horizontal="left" vertical="center" indent="1"/>
    </xf>
    <xf numFmtId="176" fontId="14" fillId="17" borderId="4" xfId="0" applyNumberFormat="1" applyFont="1" applyFill="1" applyBorder="1" applyAlignment="1">
      <alignment horizontal="right" vertical="center"/>
    </xf>
    <xf numFmtId="176" fontId="14" fillId="17" borderId="1" xfId="0" applyNumberFormat="1" applyFont="1" applyFill="1" applyBorder="1">
      <alignment vertical="center"/>
    </xf>
    <xf numFmtId="0" fontId="35" fillId="0" borderId="1" xfId="0" applyFont="1" applyBorder="1" applyAlignment="1">
      <alignment horizontal="left" vertical="center" indent="1"/>
    </xf>
    <xf numFmtId="0" fontId="14" fillId="12" borderId="4" xfId="0" applyFont="1" applyFill="1" applyBorder="1" applyAlignment="1" applyProtection="1">
      <alignment horizontal="center" vertical="center"/>
      <protection locked="0"/>
    </xf>
    <xf numFmtId="0" fontId="14" fillId="12" borderId="5" xfId="0" applyFont="1" applyFill="1" applyBorder="1" applyAlignment="1" applyProtection="1">
      <alignment horizontal="center" vertical="center"/>
      <protection locked="0"/>
    </xf>
    <xf numFmtId="0" fontId="34" fillId="19" borderId="1" xfId="0" applyFont="1" applyFill="1" applyBorder="1" applyAlignment="1">
      <alignment horizontal="center" vertical="center"/>
    </xf>
    <xf numFmtId="0" fontId="35" fillId="19" borderId="25" xfId="0" applyFont="1" applyFill="1" applyBorder="1" applyAlignment="1">
      <alignment horizontal="center" vertical="center"/>
    </xf>
    <xf numFmtId="0" fontId="35" fillId="19" borderId="26" xfId="0" applyFont="1" applyFill="1" applyBorder="1" applyAlignment="1">
      <alignment horizontal="center" vertical="center"/>
    </xf>
    <xf numFmtId="182" fontId="38" fillId="0" borderId="1" xfId="0" applyNumberFormat="1" applyFont="1" applyBorder="1" applyAlignment="1">
      <alignment horizontal="center" vertical="center"/>
    </xf>
    <xf numFmtId="182" fontId="38" fillId="0" borderId="20" xfId="0" applyNumberFormat="1" applyFont="1" applyBorder="1" applyAlignment="1">
      <alignment horizontal="center" vertical="center"/>
    </xf>
    <xf numFmtId="182" fontId="44" fillId="18" borderId="26" xfId="0" applyNumberFormat="1" applyFont="1" applyFill="1" applyBorder="1" applyAlignment="1">
      <alignment horizontal="center" vertical="center"/>
    </xf>
    <xf numFmtId="182" fontId="44" fillId="18" borderId="23" xfId="0" applyNumberFormat="1" applyFont="1" applyFill="1" applyBorder="1" applyAlignment="1">
      <alignment horizontal="center" vertical="center"/>
    </xf>
    <xf numFmtId="0" fontId="34" fillId="19" borderId="17" xfId="0" applyFont="1" applyFill="1" applyBorder="1" applyAlignment="1">
      <alignment horizontal="center" vertical="center"/>
    </xf>
    <xf numFmtId="0" fontId="34" fillId="19" borderId="18" xfId="0" applyFont="1" applyFill="1" applyBorder="1" applyAlignment="1">
      <alignment horizontal="center" vertical="center"/>
    </xf>
    <xf numFmtId="0" fontId="14" fillId="12" borderId="4" xfId="0" applyFont="1" applyFill="1" applyBorder="1" applyAlignment="1" applyProtection="1">
      <alignment horizontal="center" vertical="center" wrapText="1"/>
      <protection locked="0"/>
    </xf>
    <xf numFmtId="0" fontId="14" fillId="12" borderId="5" xfId="0" applyFont="1" applyFill="1" applyBorder="1" applyAlignment="1" applyProtection="1">
      <alignment horizontal="center" vertical="center" wrapText="1"/>
      <protection locked="0"/>
    </xf>
    <xf numFmtId="176" fontId="38" fillId="17" borderId="22" xfId="0" applyNumberFormat="1" applyFont="1" applyFill="1" applyBorder="1">
      <alignment vertical="center"/>
    </xf>
    <xf numFmtId="176" fontId="38" fillId="17" borderId="28" xfId="0" applyNumberFormat="1" applyFont="1" applyFill="1" applyBorder="1">
      <alignment vertical="center"/>
    </xf>
    <xf numFmtId="0" fontId="19" fillId="0" borderId="7" xfId="0" applyFont="1" applyBorder="1" applyAlignment="1">
      <alignment horizontal="left" vertical="center" wrapText="1"/>
    </xf>
    <xf numFmtId="0" fontId="19" fillId="0" borderId="5" xfId="0" applyFont="1" applyBorder="1" applyAlignment="1">
      <alignment horizontal="left" vertical="center" wrapText="1"/>
    </xf>
    <xf numFmtId="178" fontId="34" fillId="0" borderId="1" xfId="0" applyNumberFormat="1" applyFont="1" applyBorder="1" applyAlignment="1">
      <alignment horizontal="center" vertical="center"/>
    </xf>
    <xf numFmtId="178" fontId="34" fillId="0" borderId="20" xfId="0" applyNumberFormat="1" applyFont="1" applyBorder="1" applyAlignment="1">
      <alignment horizontal="center" vertical="center"/>
    </xf>
    <xf numFmtId="179" fontId="34" fillId="0" borderId="1" xfId="0" applyNumberFormat="1" applyFont="1" applyBorder="1" applyAlignment="1">
      <alignment horizontal="center" vertical="center"/>
    </xf>
    <xf numFmtId="179" fontId="34" fillId="0" borderId="20" xfId="0" applyNumberFormat="1" applyFont="1" applyBorder="1" applyAlignment="1">
      <alignment horizontal="center" vertical="center"/>
    </xf>
    <xf numFmtId="178" fontId="14" fillId="0" borderId="1" xfId="0" applyNumberFormat="1" applyFont="1" applyBorder="1" applyAlignment="1">
      <alignment horizontal="center" vertical="center"/>
    </xf>
    <xf numFmtId="179" fontId="14" fillId="0" borderId="1" xfId="0" applyNumberFormat="1" applyFont="1" applyBorder="1" applyAlignment="1">
      <alignment horizontal="center" vertical="center"/>
    </xf>
    <xf numFmtId="0" fontId="14" fillId="19" borderId="1" xfId="0" applyFont="1" applyFill="1" applyBorder="1" applyAlignment="1">
      <alignment horizontal="center" vertical="center"/>
    </xf>
    <xf numFmtId="0" fontId="18" fillId="0" borderId="1" xfId="0" applyFont="1" applyBorder="1" applyAlignment="1">
      <alignment horizontal="center" vertical="center"/>
    </xf>
    <xf numFmtId="0" fontId="19" fillId="0" borderId="29" xfId="0" applyFont="1" applyBorder="1" applyAlignment="1">
      <alignment horizontal="left" vertical="center" wrapText="1"/>
    </xf>
    <xf numFmtId="0" fontId="19" fillId="0" borderId="6" xfId="0" applyFont="1" applyBorder="1" applyAlignment="1">
      <alignment horizontal="left" vertical="center" wrapText="1"/>
    </xf>
    <xf numFmtId="0" fontId="19" fillId="0" borderId="45" xfId="0" applyFont="1" applyBorder="1" applyAlignment="1">
      <alignment horizontal="left" vertical="center" wrapText="1"/>
    </xf>
    <xf numFmtId="0" fontId="19" fillId="0" borderId="3" xfId="0" applyFont="1" applyBorder="1" applyAlignment="1">
      <alignment horizontal="left" vertical="center" wrapText="1"/>
    </xf>
    <xf numFmtId="0" fontId="19" fillId="0" borderId="0" xfId="0" applyFont="1" applyAlignment="1">
      <alignment horizontal="left" vertical="center" wrapText="1"/>
    </xf>
    <xf numFmtId="0" fontId="19" fillId="0" borderId="8" xfId="0" applyFont="1" applyBorder="1" applyAlignment="1">
      <alignment horizontal="left" vertical="center" wrapText="1"/>
    </xf>
    <xf numFmtId="0" fontId="35" fillId="0" borderId="22" xfId="0" applyFont="1" applyBorder="1" applyAlignment="1">
      <alignment horizontal="left" vertical="center"/>
    </xf>
    <xf numFmtId="0" fontId="35" fillId="0" borderId="30" xfId="0" applyFont="1" applyBorder="1" applyAlignment="1">
      <alignment horizontal="left" vertical="center"/>
    </xf>
    <xf numFmtId="0" fontId="35" fillId="0" borderId="28" xfId="0" applyFont="1" applyBorder="1" applyAlignment="1">
      <alignment horizontal="left" vertical="center"/>
    </xf>
    <xf numFmtId="176" fontId="18" fillId="17" borderId="22" xfId="0" applyNumberFormat="1" applyFont="1" applyFill="1" applyBorder="1" applyAlignment="1">
      <alignment horizontal="right" vertical="center"/>
    </xf>
    <xf numFmtId="176" fontId="18" fillId="17" borderId="30" xfId="0" applyNumberFormat="1" applyFont="1" applyFill="1" applyBorder="1" applyAlignment="1">
      <alignment horizontal="right" vertical="center"/>
    </xf>
    <xf numFmtId="176" fontId="18" fillId="17" borderId="28" xfId="0" applyNumberFormat="1" applyFont="1" applyFill="1" applyBorder="1" applyAlignment="1">
      <alignment horizontal="right" vertical="center"/>
    </xf>
    <xf numFmtId="0" fontId="36" fillId="19" borderId="33" xfId="0" applyFont="1" applyFill="1" applyBorder="1" applyAlignment="1">
      <alignment horizontal="center" vertical="center"/>
    </xf>
    <xf numFmtId="0" fontId="36" fillId="19" borderId="34" xfId="0" applyFont="1" applyFill="1" applyBorder="1" applyAlignment="1">
      <alignment horizontal="center" vertical="center"/>
    </xf>
    <xf numFmtId="0" fontId="36" fillId="19" borderId="35" xfId="0" applyFont="1" applyFill="1" applyBorder="1" applyAlignment="1">
      <alignment horizontal="center" vertical="center"/>
    </xf>
    <xf numFmtId="0" fontId="36" fillId="19" borderId="36" xfId="0" applyFont="1" applyFill="1" applyBorder="1" applyAlignment="1">
      <alignment horizontal="center" vertical="center"/>
    </xf>
    <xf numFmtId="0" fontId="36" fillId="19" borderId="7" xfId="0" applyFont="1" applyFill="1" applyBorder="1" applyAlignment="1">
      <alignment horizontal="center" vertical="center"/>
    </xf>
    <xf numFmtId="0" fontId="36" fillId="19" borderId="5" xfId="0" applyFont="1" applyFill="1" applyBorder="1" applyAlignment="1">
      <alignment horizontal="center" vertical="center"/>
    </xf>
    <xf numFmtId="181" fontId="14" fillId="0" borderId="1" xfId="0" applyNumberFormat="1" applyFont="1" applyBorder="1" applyAlignment="1">
      <alignment horizontal="center" vertical="center"/>
    </xf>
    <xf numFmtId="182" fontId="44" fillId="18" borderId="27" xfId="0" applyNumberFormat="1" applyFont="1" applyFill="1" applyBorder="1" applyAlignment="1">
      <alignment horizontal="center" vertical="center"/>
    </xf>
    <xf numFmtId="182" fontId="44" fillId="18" borderId="34" xfId="0" applyNumberFormat="1" applyFont="1" applyFill="1" applyBorder="1" applyAlignment="1">
      <alignment horizontal="center" vertical="center"/>
    </xf>
    <xf numFmtId="182" fontId="44" fillId="18" borderId="37" xfId="0" applyNumberFormat="1" applyFont="1" applyFill="1" applyBorder="1" applyAlignment="1">
      <alignment horizontal="center" vertical="center"/>
    </xf>
    <xf numFmtId="182" fontId="38" fillId="0" borderId="4" xfId="0" applyNumberFormat="1" applyFont="1" applyBorder="1" applyAlignment="1">
      <alignment horizontal="center" vertical="center"/>
    </xf>
    <xf numFmtId="182" fontId="38" fillId="0" borderId="7" xfId="0" applyNumberFormat="1" applyFont="1" applyBorder="1" applyAlignment="1">
      <alignment horizontal="center" vertical="center"/>
    </xf>
    <xf numFmtId="182" fontId="38" fillId="0" borderId="38" xfId="0" applyNumberFormat="1" applyFont="1" applyBorder="1" applyAlignment="1">
      <alignment horizontal="center" vertical="center"/>
    </xf>
    <xf numFmtId="182" fontId="14" fillId="0" borderId="4" xfId="0" applyNumberFormat="1" applyFont="1" applyBorder="1" applyAlignment="1">
      <alignment horizontal="center" vertical="center"/>
    </xf>
    <xf numFmtId="182" fontId="14" fillId="0" borderId="7" xfId="0" applyNumberFormat="1" applyFont="1" applyBorder="1" applyAlignment="1">
      <alignment horizontal="center" vertical="center"/>
    </xf>
    <xf numFmtId="182" fontId="14" fillId="0" borderId="5" xfId="0" applyNumberFormat="1" applyFont="1" applyBorder="1" applyAlignment="1">
      <alignment horizontal="center" vertical="center"/>
    </xf>
    <xf numFmtId="0" fontId="41" fillId="0" borderId="1" xfId="0" applyFont="1" applyBorder="1" applyAlignment="1">
      <alignment horizontal="center" vertical="center"/>
    </xf>
    <xf numFmtId="180" fontId="18" fillId="17" borderId="22" xfId="0" applyNumberFormat="1" applyFont="1" applyFill="1" applyBorder="1" applyAlignment="1">
      <alignment horizontal="right" vertical="center"/>
    </xf>
    <xf numFmtId="180" fontId="18" fillId="17" borderId="30" xfId="0" applyNumberFormat="1" applyFont="1" applyFill="1" applyBorder="1" applyAlignment="1">
      <alignment horizontal="right" vertical="center"/>
    </xf>
    <xf numFmtId="180" fontId="18" fillId="17" borderId="28" xfId="0" applyNumberFormat="1" applyFont="1" applyFill="1" applyBorder="1" applyAlignment="1">
      <alignment horizontal="right" vertical="center"/>
    </xf>
    <xf numFmtId="179" fontId="35" fillId="0" borderId="1" xfId="0" applyNumberFormat="1" applyFont="1" applyBorder="1" applyAlignment="1">
      <alignment horizontal="center" vertical="center"/>
    </xf>
    <xf numFmtId="179" fontId="35" fillId="0" borderId="20" xfId="0" applyNumberFormat="1" applyFont="1" applyBorder="1" applyAlignment="1">
      <alignment horizontal="center" vertical="center"/>
    </xf>
    <xf numFmtId="179" fontId="18" fillId="0" borderId="1" xfId="0" applyNumberFormat="1" applyFont="1" applyBorder="1" applyAlignment="1">
      <alignment horizontal="center" vertical="center"/>
    </xf>
    <xf numFmtId="0" fontId="19" fillId="0" borderId="1" xfId="0" applyFont="1" applyBorder="1" applyAlignment="1">
      <alignment horizontal="left" vertical="center"/>
    </xf>
    <xf numFmtId="178" fontId="18" fillId="0" borderId="1" xfId="0" applyNumberFormat="1" applyFont="1" applyBorder="1" applyAlignment="1">
      <alignment horizontal="center" vertical="center"/>
    </xf>
    <xf numFmtId="178" fontId="35" fillId="0" borderId="1" xfId="0" applyNumberFormat="1" applyFont="1" applyBorder="1" applyAlignment="1">
      <alignment horizontal="center" vertical="center"/>
    </xf>
    <xf numFmtId="178" fontId="35" fillId="0" borderId="20" xfId="0" applyNumberFormat="1" applyFont="1" applyBorder="1" applyAlignment="1">
      <alignment horizontal="center" vertical="center"/>
    </xf>
    <xf numFmtId="178" fontId="47" fillId="18" borderId="27" xfId="0" applyNumberFormat="1" applyFont="1" applyFill="1" applyBorder="1" applyAlignment="1">
      <alignment horizontal="center" vertical="center"/>
    </xf>
    <xf numFmtId="178" fontId="47" fillId="18" borderId="37" xfId="0" applyNumberFormat="1" applyFont="1" applyFill="1" applyBorder="1" applyAlignment="1">
      <alignment horizontal="center" vertical="center"/>
    </xf>
    <xf numFmtId="179" fontId="47" fillId="18" borderId="1" xfId="0" applyNumberFormat="1" applyFont="1" applyFill="1" applyBorder="1" applyAlignment="1">
      <alignment horizontal="center" vertical="center"/>
    </xf>
    <xf numFmtId="179" fontId="47" fillId="18" borderId="20" xfId="0" applyNumberFormat="1" applyFont="1" applyFill="1" applyBorder="1" applyAlignment="1">
      <alignment horizontal="center" vertical="center"/>
    </xf>
    <xf numFmtId="0" fontId="34" fillId="19" borderId="40" xfId="0" applyFont="1" applyFill="1" applyBorder="1" applyAlignment="1">
      <alignment horizontal="center" vertical="center"/>
    </xf>
    <xf numFmtId="0" fontId="34" fillId="19" borderId="41" xfId="0" applyFont="1" applyFill="1" applyBorder="1" applyAlignment="1">
      <alignment horizontal="center" vertical="center"/>
    </xf>
    <xf numFmtId="0" fontId="18" fillId="12" borderId="1" xfId="0" applyFont="1" applyFill="1" applyBorder="1" applyAlignment="1" applyProtection="1">
      <alignment horizontal="center" vertical="center"/>
      <protection locked="0"/>
    </xf>
    <xf numFmtId="182" fontId="34" fillId="0" borderId="1" xfId="0" applyNumberFormat="1" applyFont="1" applyBorder="1" applyAlignment="1">
      <alignment horizontal="center" vertical="center"/>
    </xf>
    <xf numFmtId="182" fontId="34" fillId="0" borderId="20" xfId="0" applyNumberFormat="1" applyFont="1" applyBorder="1" applyAlignment="1">
      <alignment horizontal="center" vertical="center"/>
    </xf>
    <xf numFmtId="178" fontId="47" fillId="18" borderId="26" xfId="0" applyNumberFormat="1" applyFont="1" applyFill="1" applyBorder="1" applyAlignment="1">
      <alignment horizontal="center" vertical="center"/>
    </xf>
    <xf numFmtId="178" fontId="47" fillId="18" borderId="23" xfId="0" applyNumberFormat="1" applyFont="1" applyFill="1" applyBorder="1" applyAlignment="1">
      <alignment horizontal="center" vertical="center"/>
    </xf>
    <xf numFmtId="0" fontId="38" fillId="12" borderId="1" xfId="0" applyFont="1" applyFill="1" applyBorder="1" applyAlignment="1" applyProtection="1">
      <alignment horizontal="center" vertical="center"/>
      <protection locked="0"/>
    </xf>
    <xf numFmtId="0" fontId="40" fillId="0" borderId="0" xfId="0" applyFont="1" applyAlignment="1">
      <alignment horizontal="center" vertical="center"/>
    </xf>
    <xf numFmtId="0" fontId="14" fillId="0" borderId="4" xfId="0" applyFont="1" applyBorder="1" applyAlignment="1">
      <alignment horizontal="left" vertical="center"/>
    </xf>
    <xf numFmtId="0" fontId="14" fillId="0" borderId="7" xfId="0" applyFont="1" applyBorder="1" applyAlignment="1">
      <alignment horizontal="left" vertical="center"/>
    </xf>
    <xf numFmtId="0" fontId="14" fillId="0" borderId="5" xfId="0" applyFont="1" applyBorder="1" applyAlignment="1">
      <alignment horizontal="left" vertical="center"/>
    </xf>
    <xf numFmtId="0" fontId="39" fillId="19" borderId="1" xfId="0" applyFont="1" applyFill="1" applyBorder="1" applyAlignment="1">
      <alignment horizontal="center" vertical="center"/>
    </xf>
    <xf numFmtId="0" fontId="19" fillId="0" borderId="1" xfId="0" applyFont="1" applyBorder="1" applyAlignment="1">
      <alignment horizontal="left" vertical="center" wrapText="1"/>
    </xf>
    <xf numFmtId="0" fontId="19" fillId="0" borderId="4" xfId="0" applyFont="1" applyBorder="1" applyAlignment="1">
      <alignment horizontal="left" vertical="center" wrapText="1"/>
    </xf>
    <xf numFmtId="0" fontId="14" fillId="11" borderId="4" xfId="0" applyFont="1" applyFill="1" applyBorder="1" applyAlignment="1" applyProtection="1">
      <alignment horizontal="center" vertical="center"/>
      <protection locked="0"/>
    </xf>
    <xf numFmtId="0" fontId="14" fillId="11" borderId="7" xfId="0" applyFont="1" applyFill="1" applyBorder="1" applyAlignment="1" applyProtection="1">
      <alignment horizontal="center" vertical="center"/>
      <protection locked="0"/>
    </xf>
    <xf numFmtId="0" fontId="27" fillId="0" borderId="1" xfId="0" applyFont="1" applyBorder="1" applyAlignment="1">
      <alignment horizontal="left" vertical="center" indent="1"/>
    </xf>
    <xf numFmtId="0" fontId="27" fillId="19" borderId="1" xfId="0" applyFont="1" applyFill="1" applyBorder="1" applyAlignment="1">
      <alignment horizontal="center" vertical="center"/>
    </xf>
    <xf numFmtId="0" fontId="14" fillId="11" borderId="1" xfId="0" applyFont="1" applyFill="1" applyBorder="1" applyAlignment="1" applyProtection="1">
      <alignment horizontal="center" vertical="center"/>
      <protection locked="0"/>
    </xf>
    <xf numFmtId="0" fontId="20" fillId="0" borderId="45" xfId="0" applyFont="1" applyBorder="1" applyAlignment="1">
      <alignment horizontal="center" vertical="center"/>
    </xf>
    <xf numFmtId="0" fontId="20" fillId="0" borderId="43" xfId="0" applyFont="1" applyBorder="1" applyAlignment="1">
      <alignment horizontal="center" vertical="center"/>
    </xf>
    <xf numFmtId="0" fontId="20" fillId="0" borderId="62" xfId="0" applyFont="1" applyBorder="1" applyAlignment="1">
      <alignment horizontal="center" vertical="center"/>
    </xf>
    <xf numFmtId="176" fontId="14" fillId="0" borderId="57" xfId="0" applyNumberFormat="1" applyFont="1" applyBorder="1" applyAlignment="1">
      <alignment horizontal="center" vertical="center"/>
    </xf>
    <xf numFmtId="176" fontId="14" fillId="0" borderId="61" xfId="0" applyNumberFormat="1" applyFont="1" applyBorder="1" applyAlignment="1">
      <alignment horizontal="center" vertical="center"/>
    </xf>
    <xf numFmtId="176" fontId="14" fillId="0" borderId="64" xfId="0" applyNumberFormat="1" applyFont="1" applyBorder="1" applyAlignment="1">
      <alignment horizontal="center" vertical="center"/>
    </xf>
    <xf numFmtId="176" fontId="14" fillId="0" borderId="58" xfId="0" applyNumberFormat="1" applyFont="1" applyBorder="1" applyAlignment="1">
      <alignment horizontal="center" vertical="center"/>
    </xf>
    <xf numFmtId="0" fontId="38" fillId="15" borderId="17" xfId="0" applyFont="1" applyFill="1" applyBorder="1" applyAlignment="1">
      <alignment horizontal="center" vertical="center"/>
    </xf>
    <xf numFmtId="0" fontId="38" fillId="15" borderId="18" xfId="0" applyFont="1" applyFill="1" applyBorder="1" applyAlignment="1">
      <alignment horizontal="center" vertical="center"/>
    </xf>
    <xf numFmtId="0" fontId="38" fillId="15" borderId="26" xfId="0" applyFont="1" applyFill="1" applyBorder="1" applyAlignment="1">
      <alignment horizontal="center" vertical="center"/>
    </xf>
    <xf numFmtId="0" fontId="38" fillId="15" borderId="23" xfId="0" applyFont="1" applyFill="1" applyBorder="1" applyAlignment="1">
      <alignment horizontal="center" vertical="center"/>
    </xf>
    <xf numFmtId="0" fontId="38" fillId="15" borderId="16" xfId="0" applyFont="1" applyFill="1" applyBorder="1" applyAlignment="1">
      <alignment horizontal="center" vertical="center"/>
    </xf>
    <xf numFmtId="0" fontId="38" fillId="15" borderId="25" xfId="0" applyFont="1" applyFill="1" applyBorder="1" applyAlignment="1">
      <alignment horizontal="center" vertical="center"/>
    </xf>
    <xf numFmtId="0" fontId="14" fillId="15" borderId="16" xfId="0" applyFont="1" applyFill="1" applyBorder="1" applyAlignment="1">
      <alignment horizontal="center" vertical="center"/>
    </xf>
    <xf numFmtId="0" fontId="14" fillId="15" borderId="24" xfId="0" applyFont="1" applyFill="1" applyBorder="1" applyAlignment="1">
      <alignment horizontal="center" vertical="center"/>
    </xf>
    <xf numFmtId="0" fontId="14" fillId="15" borderId="25" xfId="0" applyFont="1" applyFill="1" applyBorder="1" applyAlignment="1">
      <alignment horizontal="center" vertical="center"/>
    </xf>
    <xf numFmtId="0" fontId="14" fillId="15" borderId="27" xfId="0" applyFont="1" applyFill="1" applyBorder="1" applyAlignment="1">
      <alignment horizontal="center" vertical="center"/>
    </xf>
    <xf numFmtId="0" fontId="38" fillId="15" borderId="47" xfId="0" applyFont="1" applyFill="1" applyBorder="1" applyAlignment="1">
      <alignment horizontal="center" vertical="center"/>
    </xf>
    <xf numFmtId="0" fontId="38" fillId="15" borderId="63" xfId="0" applyFont="1" applyFill="1" applyBorder="1" applyAlignment="1">
      <alignment horizontal="center" vertical="center"/>
    </xf>
    <xf numFmtId="0" fontId="14" fillId="15" borderId="39" xfId="0" applyFont="1" applyFill="1" applyBorder="1" applyAlignment="1">
      <alignment horizontal="center" vertical="center"/>
    </xf>
    <xf numFmtId="0" fontId="14" fillId="15" borderId="40" xfId="0" applyFont="1" applyFill="1" applyBorder="1" applyAlignment="1">
      <alignment horizontal="center" vertical="center"/>
    </xf>
    <xf numFmtId="0" fontId="14" fillId="15" borderId="41" xfId="0" applyFont="1" applyFill="1" applyBorder="1" applyAlignment="1">
      <alignment horizontal="center" vertical="center"/>
    </xf>
    <xf numFmtId="0" fontId="14" fillId="15" borderId="58" xfId="0"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7" xfId="0" applyFont="1" applyFill="1" applyBorder="1" applyAlignment="1">
      <alignment horizontal="center" vertical="center"/>
    </xf>
    <xf numFmtId="0" fontId="14" fillId="15" borderId="18" xfId="0" applyFont="1" applyFill="1" applyBorder="1" applyAlignment="1">
      <alignment horizontal="center" vertical="center"/>
    </xf>
    <xf numFmtId="0" fontId="14" fillId="15" borderId="23" xfId="0" applyFont="1" applyFill="1" applyBorder="1" applyAlignment="1">
      <alignment horizontal="center" vertical="center"/>
    </xf>
    <xf numFmtId="0" fontId="14" fillId="15" borderId="54" xfId="0" applyFont="1" applyFill="1" applyBorder="1" applyAlignment="1">
      <alignment horizontal="center" vertical="center"/>
    </xf>
    <xf numFmtId="0" fontId="14" fillId="15" borderId="56" xfId="0" applyFont="1" applyFill="1" applyBorder="1" applyAlignment="1">
      <alignment horizontal="center" vertical="center"/>
    </xf>
    <xf numFmtId="3" fontId="56" fillId="0" borderId="48" xfId="0" applyNumberFormat="1" applyFont="1" applyBorder="1" applyAlignment="1">
      <alignment horizontal="center" vertical="center" wrapText="1"/>
    </xf>
    <xf numFmtId="3" fontId="56" fillId="0" borderId="32" xfId="0" applyNumberFormat="1" applyFont="1" applyBorder="1" applyAlignment="1">
      <alignment horizontal="center" vertical="center" wrapText="1"/>
    </xf>
    <xf numFmtId="3" fontId="56" fillId="0" borderId="33" xfId="0" applyNumberFormat="1" applyFont="1" applyBorder="1" applyAlignment="1">
      <alignment horizontal="center" vertical="center" wrapText="1"/>
    </xf>
    <xf numFmtId="3" fontId="56" fillId="0" borderId="37" xfId="0" applyNumberFormat="1" applyFont="1" applyBorder="1" applyAlignment="1">
      <alignment horizontal="center" vertical="center" wrapText="1"/>
    </xf>
    <xf numFmtId="0" fontId="38" fillId="15" borderId="60" xfId="0" applyFont="1" applyFill="1" applyBorder="1" applyAlignment="1">
      <alignment horizontal="center" vertical="center"/>
    </xf>
    <xf numFmtId="0" fontId="38" fillId="15" borderId="55" xfId="0" applyFont="1" applyFill="1" applyBorder="1" applyAlignment="1">
      <alignment horizontal="center" vertical="center"/>
    </xf>
    <xf numFmtId="0" fontId="38" fillId="15" borderId="59" xfId="0" applyFont="1" applyFill="1" applyBorder="1" applyAlignment="1">
      <alignment horizontal="center" vertical="center"/>
    </xf>
    <xf numFmtId="0" fontId="38" fillId="15" borderId="54" xfId="0" applyFont="1" applyFill="1" applyBorder="1" applyAlignment="1">
      <alignment horizontal="center" vertical="center"/>
    </xf>
    <xf numFmtId="0" fontId="38" fillId="15" borderId="56" xfId="0" applyFont="1" applyFill="1" applyBorder="1" applyAlignment="1">
      <alignment horizontal="center" vertical="center"/>
    </xf>
    <xf numFmtId="177" fontId="38" fillId="0" borderId="3" xfId="0" applyNumberFormat="1" applyFont="1" applyBorder="1" applyAlignment="1">
      <alignment horizontal="right" vertical="center"/>
    </xf>
    <xf numFmtId="177" fontId="38" fillId="0" borderId="42" xfId="0" applyNumberFormat="1" applyFont="1" applyBorder="1" applyAlignment="1">
      <alignment horizontal="right" vertical="center"/>
    </xf>
    <xf numFmtId="177" fontId="38" fillId="0" borderId="6" xfId="0" applyNumberFormat="1" applyFont="1" applyBorder="1" applyAlignment="1">
      <alignment horizontal="right" vertical="center"/>
    </xf>
    <xf numFmtId="177" fontId="38" fillId="0" borderId="46" xfId="0" applyNumberFormat="1" applyFont="1" applyBorder="1" applyAlignment="1">
      <alignment horizontal="right" vertical="center"/>
    </xf>
    <xf numFmtId="177" fontId="38" fillId="0" borderId="44" xfId="0" applyNumberFormat="1" applyFont="1" applyBorder="1" applyAlignment="1">
      <alignment horizontal="right" vertical="center"/>
    </xf>
    <xf numFmtId="0" fontId="20" fillId="0" borderId="6" xfId="0" applyFont="1" applyBorder="1" applyAlignment="1">
      <alignment horizontal="center" vertical="center"/>
    </xf>
    <xf numFmtId="0" fontId="20" fillId="0" borderId="44" xfId="0" applyFont="1" applyBorder="1" applyAlignment="1">
      <alignment horizontal="center" vertical="center"/>
    </xf>
    <xf numFmtId="0" fontId="53" fillId="0" borderId="19" xfId="0" applyFont="1" applyBorder="1" applyAlignment="1">
      <alignment horizontal="left" vertical="center" wrapText="1"/>
    </xf>
    <xf numFmtId="0" fontId="53" fillId="0" borderId="1" xfId="0" applyFont="1" applyBorder="1" applyAlignment="1">
      <alignment horizontal="left" vertical="center" wrapText="1"/>
    </xf>
    <xf numFmtId="0" fontId="53" fillId="0" borderId="20" xfId="0" applyFont="1" applyBorder="1" applyAlignment="1">
      <alignment horizontal="left" vertical="center" wrapText="1"/>
    </xf>
    <xf numFmtId="0" fontId="53" fillId="0" borderId="25" xfId="0" applyFont="1" applyBorder="1" applyAlignment="1">
      <alignment horizontal="left" vertical="center" wrapText="1"/>
    </xf>
    <xf numFmtId="0" fontId="53" fillId="0" borderId="26" xfId="0" applyFont="1" applyBorder="1" applyAlignment="1">
      <alignment horizontal="left" vertical="center" wrapText="1"/>
    </xf>
    <xf numFmtId="0" fontId="53" fillId="0" borderId="23" xfId="0" applyFont="1" applyBorder="1" applyAlignment="1">
      <alignment horizontal="left" vertical="center" wrapText="1"/>
    </xf>
    <xf numFmtId="0" fontId="27" fillId="15" borderId="1" xfId="0" applyFont="1" applyFill="1" applyBorder="1" applyAlignment="1">
      <alignment horizontal="center" vertical="center" wrapText="1"/>
    </xf>
    <xf numFmtId="0" fontId="38" fillId="0" borderId="19" xfId="0" applyFont="1" applyBorder="1" applyAlignment="1">
      <alignment horizontal="center" vertical="center"/>
    </xf>
    <xf numFmtId="0" fontId="38" fillId="0" borderId="4" xfId="0" applyFont="1" applyBorder="1" applyAlignment="1">
      <alignment horizontal="center" vertical="center"/>
    </xf>
    <xf numFmtId="0" fontId="38" fillId="0" borderId="52" xfId="0" applyFont="1" applyBorder="1" applyAlignment="1">
      <alignment horizontal="center" vertical="center"/>
    </xf>
    <xf numFmtId="0" fontId="38" fillId="0" borderId="42" xfId="0" applyFont="1" applyBorder="1" applyAlignment="1">
      <alignment horizontal="center" vertical="center"/>
    </xf>
    <xf numFmtId="176" fontId="53" fillId="0" borderId="52" xfId="0" applyNumberFormat="1" applyFont="1" applyBorder="1" applyAlignment="1">
      <alignment horizontal="left" vertical="center" wrapText="1"/>
    </xf>
    <xf numFmtId="176" fontId="53" fillId="0" borderId="28" xfId="0" applyNumberFormat="1" applyFont="1" applyBorder="1" applyAlignment="1">
      <alignment horizontal="left" vertical="center" wrapText="1"/>
    </xf>
    <xf numFmtId="176" fontId="53" fillId="0" borderId="53" xfId="0" applyNumberFormat="1" applyFont="1" applyBorder="1" applyAlignment="1">
      <alignment horizontal="left" vertical="center" wrapText="1"/>
    </xf>
    <xf numFmtId="176" fontId="53" fillId="0" borderId="19" xfId="0" applyNumberFormat="1" applyFont="1" applyBorder="1" applyAlignment="1">
      <alignment horizontal="left" vertical="center" wrapText="1"/>
    </xf>
    <xf numFmtId="176" fontId="53" fillId="0" borderId="1" xfId="0" applyNumberFormat="1" applyFont="1" applyBorder="1" applyAlignment="1">
      <alignment horizontal="left" vertical="center" wrapText="1"/>
    </xf>
    <xf numFmtId="176" fontId="53" fillId="0" borderId="20" xfId="0" applyNumberFormat="1" applyFont="1" applyBorder="1" applyAlignment="1">
      <alignment horizontal="left" vertical="center" wrapText="1"/>
    </xf>
    <xf numFmtId="0" fontId="20" fillId="0" borderId="0" xfId="0" applyFont="1" applyAlignment="1">
      <alignment horizontal="center" vertical="center"/>
    </xf>
    <xf numFmtId="0" fontId="18" fillId="15" borderId="49" xfId="0" applyFont="1" applyFill="1" applyBorder="1" applyAlignment="1">
      <alignment horizontal="center" vertical="center"/>
    </xf>
    <xf numFmtId="0" fontId="18" fillId="15" borderId="17" xfId="0" applyFont="1" applyFill="1" applyBorder="1" applyAlignment="1">
      <alignment horizontal="center" vertical="center"/>
    </xf>
    <xf numFmtId="0" fontId="18" fillId="15" borderId="18" xfId="0" applyFont="1" applyFill="1" applyBorder="1" applyAlignment="1">
      <alignment horizontal="center" vertical="center"/>
    </xf>
    <xf numFmtId="0" fontId="18" fillId="15" borderId="35" xfId="0" applyFont="1" applyFill="1" applyBorder="1" applyAlignment="1">
      <alignment horizontal="center" vertical="center"/>
    </xf>
    <xf numFmtId="0" fontId="18" fillId="15" borderId="26" xfId="0" applyFont="1" applyFill="1" applyBorder="1" applyAlignment="1">
      <alignment horizontal="center" vertical="center"/>
    </xf>
    <xf numFmtId="0" fontId="18" fillId="15" borderId="23" xfId="0" applyFont="1" applyFill="1" applyBorder="1" applyAlignment="1">
      <alignment horizontal="center" vertical="center"/>
    </xf>
    <xf numFmtId="0" fontId="20" fillId="0" borderId="46" xfId="0" applyFont="1" applyBorder="1" applyAlignment="1">
      <alignment horizontal="center" vertical="center"/>
    </xf>
    <xf numFmtId="0" fontId="44" fillId="10" borderId="25" xfId="0" applyFont="1" applyFill="1" applyBorder="1" applyAlignment="1">
      <alignment horizontal="center" vertical="center"/>
    </xf>
    <xf numFmtId="0" fontId="44" fillId="10" borderId="27" xfId="0" applyFont="1" applyFill="1" applyBorder="1" applyAlignment="1">
      <alignment horizontal="center" vertical="center"/>
    </xf>
    <xf numFmtId="0" fontId="38" fillId="0" borderId="25" xfId="0" applyFont="1" applyBorder="1" applyAlignment="1">
      <alignment horizontal="center" vertical="center"/>
    </xf>
    <xf numFmtId="0" fontId="38" fillId="0" borderId="27" xfId="0" applyFont="1" applyBorder="1" applyAlignment="1">
      <alignment horizontal="center" vertical="center"/>
    </xf>
    <xf numFmtId="0" fontId="40" fillId="10" borderId="25" xfId="0" applyFont="1" applyFill="1" applyBorder="1" applyAlignment="1">
      <alignment horizontal="center" vertical="center" wrapText="1"/>
    </xf>
    <xf numFmtId="0" fontId="40" fillId="10" borderId="23" xfId="0" applyFont="1" applyFill="1" applyBorder="1" applyAlignment="1">
      <alignment horizontal="center" vertical="center" wrapText="1"/>
    </xf>
    <xf numFmtId="0" fontId="44" fillId="10" borderId="48" xfId="0" applyFont="1" applyFill="1" applyBorder="1" applyAlignment="1">
      <alignment horizontal="center" vertical="center"/>
    </xf>
    <xf numFmtId="0" fontId="44" fillId="10" borderId="50" xfId="0" applyFont="1" applyFill="1" applyBorder="1" applyAlignment="1">
      <alignment horizontal="center" vertical="center"/>
    </xf>
    <xf numFmtId="0" fontId="44" fillId="10" borderId="36" xfId="0" applyFont="1" applyFill="1" applyBorder="1" applyAlignment="1">
      <alignment horizontal="center" vertical="center"/>
    </xf>
    <xf numFmtId="0" fontId="44" fillId="10" borderId="7" xfId="0" applyFont="1" applyFill="1" applyBorder="1" applyAlignment="1">
      <alignment horizontal="center" vertical="center"/>
    </xf>
    <xf numFmtId="0" fontId="40" fillId="10" borderId="16" xfId="0" applyFont="1" applyFill="1" applyBorder="1" applyAlignment="1">
      <alignment horizontal="center" vertical="center"/>
    </xf>
    <xf numFmtId="0" fontId="40" fillId="10" borderId="18" xfId="0" applyFont="1" applyFill="1" applyBorder="1" applyAlignment="1">
      <alignment horizontal="center" vertical="center"/>
    </xf>
    <xf numFmtId="0" fontId="38" fillId="0" borderId="16"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25" xfId="0" applyFont="1" applyBorder="1" applyAlignment="1">
      <alignment horizontal="center" vertical="center" wrapText="1"/>
    </xf>
    <xf numFmtId="0" fontId="38" fillId="0" borderId="23" xfId="0" applyFont="1" applyBorder="1" applyAlignment="1">
      <alignment horizontal="center" vertical="center" wrapText="1"/>
    </xf>
    <xf numFmtId="0" fontId="44" fillId="10" borderId="33" xfId="0" applyFont="1" applyFill="1" applyBorder="1" applyAlignment="1">
      <alignment horizontal="center" vertical="center" wrapText="1"/>
    </xf>
    <xf numFmtId="0" fontId="44" fillId="10" borderId="37" xfId="0" applyFont="1" applyFill="1" applyBorder="1" applyAlignment="1">
      <alignment horizontal="center" vertical="center" wrapText="1"/>
    </xf>
    <xf numFmtId="0" fontId="44" fillId="10" borderId="32" xfId="0" applyFont="1" applyFill="1" applyBorder="1" applyAlignment="1">
      <alignment horizontal="center" vertical="center"/>
    </xf>
    <xf numFmtId="0" fontId="0" fillId="0" borderId="19"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0" borderId="21" xfId="0" applyBorder="1" applyAlignment="1">
      <alignment horizontal="center" vertical="center"/>
    </xf>
    <xf numFmtId="0" fontId="7" fillId="0" borderId="3" xfId="0" applyFont="1" applyBorder="1" applyAlignment="1">
      <alignment horizontal="center" vertical="center"/>
    </xf>
    <xf numFmtId="0" fontId="9" fillId="0" borderId="0" xfId="0" applyFont="1" applyAlignment="1">
      <alignment horizontal="center" vertical="center"/>
    </xf>
    <xf numFmtId="0" fontId="9" fillId="0" borderId="3" xfId="0" applyFont="1" applyBorder="1" applyAlignment="1">
      <alignment horizontal="center" vertical="center"/>
    </xf>
    <xf numFmtId="0" fontId="0" fillId="0" borderId="1" xfId="0" applyBorder="1" applyAlignment="1">
      <alignment horizontal="center" vertical="center"/>
    </xf>
  </cellXfs>
  <cellStyles count="5">
    <cellStyle name="ハイパーリンク" xfId="1" builtinId="8"/>
    <cellStyle name="ハイパーリンク 2" xfId="3"/>
    <cellStyle name="桁区切り" xfId="4" builtinId="6"/>
    <cellStyle name="標準" xfId="0" builtinId="0"/>
    <cellStyle name="標準 2" xfId="2"/>
  </cellStyles>
  <dxfs count="31">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dxf>
    <dxf>
      <font>
        <color theme="0"/>
      </font>
      <fill>
        <patternFill>
          <bgColor theme="0"/>
        </patternFill>
      </fill>
    </dxf>
    <dxf>
      <fill>
        <patternFill>
          <bgColor theme="1"/>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dxf>
    <dxf>
      <font>
        <color theme="0"/>
      </font>
      <fill>
        <patternFill>
          <bgColor theme="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1"/>
        </patternFill>
      </fill>
    </dxf>
    <dxf>
      <font>
        <color theme="0"/>
      </font>
      <fill>
        <patternFill>
          <bgColor theme="0"/>
        </patternFill>
      </fill>
    </dxf>
    <dxf>
      <font>
        <color rgb="FF9CBEBD"/>
      </font>
      <fill>
        <patternFill>
          <fgColor rgb="FF9CBEBD"/>
          <bgColor rgb="FF9CBEBD"/>
        </patternFill>
      </fill>
    </dxf>
    <dxf>
      <font>
        <color rgb="FF9CBEBD"/>
      </font>
      <fill>
        <patternFill>
          <bgColor rgb="FF9CBEBD"/>
        </patternFill>
      </fill>
    </dxf>
  </dxfs>
  <tableStyles count="0" defaultTableStyle="TableStyleMedium2" defaultPivotStyle="PivotStyleLight16"/>
  <colors>
    <mruColors>
      <color rgb="FF9CBEBD"/>
      <color rgb="FFF8BC5A"/>
      <color rgb="FFEBE753"/>
      <color rgb="FFFF9933"/>
      <color rgb="FF90C07A"/>
      <color rgb="FF5F95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7.png"/><Relationship Id="rId6" Type="http://schemas.openxmlformats.org/officeDocument/2006/relationships/image" Target="../media/image8.png"/><Relationship Id="rId7" Type="http://schemas.openxmlformats.org/officeDocument/2006/relationships/image" Target="../media/image9.png"/><Relationship Id="rId1" Type="http://schemas.openxmlformats.org/officeDocument/2006/relationships/image" Target="../media/image3.png"/><Relationship Id="rId2"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10</xdr:col>
      <xdr:colOff>542925</xdr:colOff>
      <xdr:row>13</xdr:row>
      <xdr:rowOff>133351</xdr:rowOff>
    </xdr:from>
    <xdr:to>
      <xdr:col>10</xdr:col>
      <xdr:colOff>638175</xdr:colOff>
      <xdr:row>20</xdr:row>
      <xdr:rowOff>147639</xdr:rowOff>
    </xdr:to>
    <xdr:sp macro="" textlink="">
      <xdr:nvSpPr>
        <xdr:cNvPr id="3" name="右中かっこ 2">
          <a:extLst>
            <a:ext uri="{FF2B5EF4-FFF2-40B4-BE49-F238E27FC236}">
              <a16:creationId xmlns:a16="http://schemas.microsoft.com/office/drawing/2014/main" xmlns="" id="{00000000-0008-0000-0000-000003000000}"/>
            </a:ext>
          </a:extLst>
        </xdr:cNvPr>
        <xdr:cNvSpPr/>
      </xdr:nvSpPr>
      <xdr:spPr>
        <a:xfrm>
          <a:off x="8315325" y="2814639"/>
          <a:ext cx="95250" cy="1347788"/>
        </a:xfrm>
        <a:prstGeom prst="rightBrace">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552451</xdr:colOff>
      <xdr:row>22</xdr:row>
      <xdr:rowOff>66676</xdr:rowOff>
    </xdr:from>
    <xdr:to>
      <xdr:col>11</xdr:col>
      <xdr:colOff>3972</xdr:colOff>
      <xdr:row>25</xdr:row>
      <xdr:rowOff>38101</xdr:rowOff>
    </xdr:to>
    <xdr:sp macro="" textlink="">
      <xdr:nvSpPr>
        <xdr:cNvPr id="5" name="右中かっこ 4">
          <a:extLst>
            <a:ext uri="{FF2B5EF4-FFF2-40B4-BE49-F238E27FC236}">
              <a16:creationId xmlns:a16="http://schemas.microsoft.com/office/drawing/2014/main" xmlns="" id="{00000000-0008-0000-0000-000005000000}"/>
            </a:ext>
          </a:extLst>
        </xdr:cNvPr>
        <xdr:cNvSpPr/>
      </xdr:nvSpPr>
      <xdr:spPr>
        <a:xfrm>
          <a:off x="8324851" y="4462464"/>
          <a:ext cx="99221" cy="542925"/>
        </a:xfrm>
        <a:prstGeom prst="rightBrace">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119063</xdr:colOff>
      <xdr:row>15</xdr:row>
      <xdr:rowOff>161925</xdr:rowOff>
    </xdr:from>
    <xdr:to>
      <xdr:col>14</xdr:col>
      <xdr:colOff>242889</xdr:colOff>
      <xdr:row>18</xdr:row>
      <xdr:rowOff>123824</xdr:rowOff>
    </xdr:to>
    <xdr:sp macro="" textlink="">
      <xdr:nvSpPr>
        <xdr:cNvPr id="6" name="テキスト ボックス 5">
          <a:extLst>
            <a:ext uri="{FF2B5EF4-FFF2-40B4-BE49-F238E27FC236}">
              <a16:creationId xmlns:a16="http://schemas.microsoft.com/office/drawing/2014/main" xmlns="" id="{00000000-0008-0000-0000-000006000000}"/>
            </a:ext>
          </a:extLst>
        </xdr:cNvPr>
        <xdr:cNvSpPr txBox="1"/>
      </xdr:nvSpPr>
      <xdr:spPr>
        <a:xfrm>
          <a:off x="8539163" y="3224213"/>
          <a:ext cx="2066926" cy="533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「エアコン（</a:t>
          </a:r>
          <a:r>
            <a:rPr kumimoji="1" lang="en-US" altLang="ja-JP" sz="1000">
              <a:latin typeface="Meiryo UI" panose="020B0604030504040204" pitchFamily="50" charset="-128"/>
              <a:ea typeface="Meiryo UI" panose="020B0604030504040204" pitchFamily="50" charset="-128"/>
            </a:rPr>
            <a:t>2005</a:t>
          </a:r>
          <a:r>
            <a:rPr kumimoji="1" lang="ja-JP" altLang="en-US" sz="1000">
              <a:latin typeface="Meiryo UI" panose="020B0604030504040204" pitchFamily="50" charset="-128"/>
              <a:ea typeface="Meiryo UI" panose="020B0604030504040204" pitchFamily="50" charset="-128"/>
            </a:rPr>
            <a:t>年以降）」以外は</a:t>
          </a:r>
          <a:endParaRPr kumimoji="1" lang="en-US" altLang="ja-JP" sz="1000">
            <a:latin typeface="Meiryo UI" panose="020B0604030504040204" pitchFamily="50" charset="-128"/>
            <a:ea typeface="Meiryo UI" panose="020B0604030504040204" pitchFamily="50" charset="-128"/>
          </a:endParaRPr>
        </a:p>
        <a:p>
          <a:r>
            <a:rPr kumimoji="1" lang="ja-JP" altLang="en-US" sz="1000">
              <a:latin typeface="Meiryo UI" panose="020B0604030504040204" pitchFamily="50" charset="-128"/>
              <a:ea typeface="Meiryo UI" panose="020B0604030504040204" pitchFamily="50" charset="-128"/>
            </a:rPr>
            <a:t>＜</a:t>
          </a:r>
          <a:r>
            <a:rPr kumimoji="0"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標準＞を選択する</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10</xdr:col>
      <xdr:colOff>80964</xdr:colOff>
      <xdr:row>36</xdr:row>
      <xdr:rowOff>4762</xdr:rowOff>
    </xdr:from>
    <xdr:to>
      <xdr:col>13</xdr:col>
      <xdr:colOff>638175</xdr:colOff>
      <xdr:row>37</xdr:row>
      <xdr:rowOff>114300</xdr:rowOff>
    </xdr:to>
    <xdr:sp macro="" textlink="">
      <xdr:nvSpPr>
        <xdr:cNvPr id="8" name="テキスト ボックス 7">
          <a:extLst>
            <a:ext uri="{FF2B5EF4-FFF2-40B4-BE49-F238E27FC236}">
              <a16:creationId xmlns:a16="http://schemas.microsoft.com/office/drawing/2014/main" xmlns="" id="{00000000-0008-0000-0000-000008000000}"/>
            </a:ext>
          </a:extLst>
        </xdr:cNvPr>
        <xdr:cNvSpPr txBox="1"/>
      </xdr:nvSpPr>
      <xdr:spPr>
        <a:xfrm>
          <a:off x="7853364" y="7067550"/>
          <a:ext cx="2500311" cy="3000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50">
              <a:solidFill>
                <a:schemeClr val="dk1"/>
              </a:solidFill>
              <a:effectLst/>
              <a:latin typeface="Meiryo UI" panose="020B0604030504040204" pitchFamily="50" charset="-128"/>
              <a:ea typeface="Meiryo UI" panose="020B0604030504040204" pitchFamily="50" charset="-128"/>
              <a:cs typeface="+mn-cs"/>
            </a:rPr>
            <a:t>「</a:t>
          </a:r>
          <a:r>
            <a:rPr kumimoji="1" lang="ja-JP" altLang="en-US" sz="1050">
              <a:solidFill>
                <a:schemeClr val="dk1"/>
              </a:solidFill>
              <a:effectLst/>
              <a:latin typeface="Meiryo UI" panose="020B0604030504040204" pitchFamily="50" charset="-128"/>
              <a:ea typeface="Meiryo UI" panose="020B0604030504040204" pitchFamily="50" charset="-128"/>
              <a:cs typeface="+mn-cs"/>
            </a:rPr>
            <a:t>エアコン（</a:t>
          </a:r>
          <a:r>
            <a:rPr kumimoji="1" lang="en-US" altLang="ja-JP" sz="1050">
              <a:solidFill>
                <a:schemeClr val="dk1"/>
              </a:solidFill>
              <a:effectLst/>
              <a:latin typeface="Meiryo UI" panose="020B0604030504040204" pitchFamily="50" charset="-128"/>
              <a:ea typeface="Meiryo UI" panose="020B0604030504040204" pitchFamily="50" charset="-128"/>
              <a:cs typeface="+mn-cs"/>
            </a:rPr>
            <a:t>2005</a:t>
          </a:r>
          <a:r>
            <a:rPr kumimoji="1" lang="ja-JP" altLang="en-US" sz="1050">
              <a:solidFill>
                <a:schemeClr val="dk1"/>
              </a:solidFill>
              <a:effectLst/>
              <a:latin typeface="Meiryo UI" panose="020B0604030504040204" pitchFamily="50" charset="-128"/>
              <a:ea typeface="Meiryo UI" panose="020B0604030504040204" pitchFamily="50" charset="-128"/>
              <a:cs typeface="+mn-cs"/>
            </a:rPr>
            <a:t>年以降）</a:t>
          </a:r>
          <a:r>
            <a:rPr kumimoji="1" lang="ja-JP" altLang="ja-JP" sz="1050">
              <a:solidFill>
                <a:schemeClr val="dk1"/>
              </a:solidFill>
              <a:effectLst/>
              <a:latin typeface="Meiryo UI" panose="020B0604030504040204" pitchFamily="50" charset="-128"/>
              <a:ea typeface="Meiryo UI" panose="020B0604030504040204" pitchFamily="50" charset="-128"/>
              <a:cs typeface="+mn-cs"/>
            </a:rPr>
            <a:t>」</a:t>
          </a:r>
          <a:r>
            <a:rPr kumimoji="1" lang="ja-JP" altLang="en-US" sz="1050">
              <a:solidFill>
                <a:schemeClr val="dk1"/>
              </a:solidFill>
              <a:effectLst/>
              <a:latin typeface="Meiryo UI" panose="020B0604030504040204" pitchFamily="50" charset="-128"/>
              <a:ea typeface="Meiryo UI" panose="020B0604030504040204" pitchFamily="50" charset="-128"/>
              <a:cs typeface="+mn-cs"/>
            </a:rPr>
            <a:t>単独の削減量</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9</xdr:col>
      <xdr:colOff>323850</xdr:colOff>
      <xdr:row>36</xdr:row>
      <xdr:rowOff>109537</xdr:rowOff>
    </xdr:from>
    <xdr:to>
      <xdr:col>9</xdr:col>
      <xdr:colOff>600075</xdr:colOff>
      <xdr:row>37</xdr:row>
      <xdr:rowOff>47624</xdr:rowOff>
    </xdr:to>
    <xdr:sp macro="" textlink="">
      <xdr:nvSpPr>
        <xdr:cNvPr id="9" name="左矢印 8">
          <a:extLst>
            <a:ext uri="{FF2B5EF4-FFF2-40B4-BE49-F238E27FC236}">
              <a16:creationId xmlns:a16="http://schemas.microsoft.com/office/drawing/2014/main" xmlns="" id="{00000000-0008-0000-0000-000009000000}"/>
            </a:ext>
          </a:extLst>
        </xdr:cNvPr>
        <xdr:cNvSpPr/>
      </xdr:nvSpPr>
      <xdr:spPr>
        <a:xfrm>
          <a:off x="7453313" y="7172325"/>
          <a:ext cx="276225" cy="1285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347663</xdr:colOff>
      <xdr:row>48</xdr:row>
      <xdr:rowOff>23813</xdr:rowOff>
    </xdr:from>
    <xdr:to>
      <xdr:col>9</xdr:col>
      <xdr:colOff>623888</xdr:colOff>
      <xdr:row>48</xdr:row>
      <xdr:rowOff>152400</xdr:rowOff>
    </xdr:to>
    <xdr:sp macro="" textlink="">
      <xdr:nvSpPr>
        <xdr:cNvPr id="11" name="左矢印 10">
          <a:extLst>
            <a:ext uri="{FF2B5EF4-FFF2-40B4-BE49-F238E27FC236}">
              <a16:creationId xmlns:a16="http://schemas.microsoft.com/office/drawing/2014/main" xmlns="" id="{00000000-0008-0000-0000-00000B000000}"/>
            </a:ext>
          </a:extLst>
        </xdr:cNvPr>
        <xdr:cNvSpPr/>
      </xdr:nvSpPr>
      <xdr:spPr>
        <a:xfrm>
          <a:off x="7477126" y="9372601"/>
          <a:ext cx="276225" cy="1285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1300162</xdr:colOff>
      <xdr:row>25</xdr:row>
      <xdr:rowOff>114300</xdr:rowOff>
    </xdr:from>
    <xdr:to>
      <xdr:col>3</xdr:col>
      <xdr:colOff>252412</xdr:colOff>
      <xdr:row>26</xdr:row>
      <xdr:rowOff>104775</xdr:rowOff>
    </xdr:to>
    <xdr:sp macro="" textlink="">
      <xdr:nvSpPr>
        <xdr:cNvPr id="16" name="上矢印 15">
          <a:extLst>
            <a:ext uri="{FF2B5EF4-FFF2-40B4-BE49-F238E27FC236}">
              <a16:creationId xmlns:a16="http://schemas.microsoft.com/office/drawing/2014/main" xmlns="" id="{00000000-0008-0000-0000-000010000000}"/>
            </a:ext>
          </a:extLst>
        </xdr:cNvPr>
        <xdr:cNvSpPr/>
      </xdr:nvSpPr>
      <xdr:spPr>
        <a:xfrm>
          <a:off x="3019425" y="5081588"/>
          <a:ext cx="476250" cy="1809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414340</xdr:colOff>
      <xdr:row>26</xdr:row>
      <xdr:rowOff>171452</xdr:rowOff>
    </xdr:from>
    <xdr:to>
      <xdr:col>4</xdr:col>
      <xdr:colOff>566738</xdr:colOff>
      <xdr:row>28</xdr:row>
      <xdr:rowOff>85726</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2128840" y="5329240"/>
          <a:ext cx="2324098" cy="295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a:latin typeface="Meiryo UI" panose="020B0604030504040204" pitchFamily="50" charset="-128"/>
              <a:ea typeface="Meiryo UI" panose="020B0604030504040204" pitchFamily="50" charset="-128"/>
            </a:rPr>
            <a:t>BEFORE</a:t>
          </a:r>
          <a:r>
            <a:rPr kumimoji="1" lang="ja-JP" altLang="en-US" sz="1050">
              <a:latin typeface="Meiryo UI" panose="020B0604030504040204" pitchFamily="50" charset="-128"/>
              <a:ea typeface="Meiryo UI" panose="020B0604030504040204" pitchFamily="50" charset="-128"/>
            </a:rPr>
            <a:t>はすべて＜標準＞を選択する</a:t>
          </a:r>
        </a:p>
      </xdr:txBody>
    </xdr:sp>
    <xdr:clientData/>
  </xdr:twoCellAnchor>
  <xdr:twoCellAnchor editAs="oneCell">
    <xdr:from>
      <xdr:col>1</xdr:col>
      <xdr:colOff>123824</xdr:colOff>
      <xdr:row>29</xdr:row>
      <xdr:rowOff>31642</xdr:rowOff>
    </xdr:from>
    <xdr:to>
      <xdr:col>9</xdr:col>
      <xdr:colOff>242886</xdr:colOff>
      <xdr:row>49</xdr:row>
      <xdr:rowOff>154987</xdr:rowOff>
    </xdr:to>
    <xdr:pic>
      <xdr:nvPicPr>
        <xdr:cNvPr id="19" name="図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
        <a:stretch>
          <a:fillRect/>
        </a:stretch>
      </xdr:blipFill>
      <xdr:spPr>
        <a:xfrm>
          <a:off x="542924" y="5760930"/>
          <a:ext cx="6829425" cy="3933345"/>
        </a:xfrm>
        <a:prstGeom prst="rect">
          <a:avLst/>
        </a:prstGeom>
      </xdr:spPr>
    </xdr:pic>
    <xdr:clientData/>
  </xdr:twoCellAnchor>
  <xdr:twoCellAnchor>
    <xdr:from>
      <xdr:col>10</xdr:col>
      <xdr:colOff>85727</xdr:colOff>
      <xdr:row>37</xdr:row>
      <xdr:rowOff>147638</xdr:rowOff>
    </xdr:from>
    <xdr:to>
      <xdr:col>13</xdr:col>
      <xdr:colOff>642938</xdr:colOff>
      <xdr:row>39</xdr:row>
      <xdr:rowOff>66676</xdr:rowOff>
    </xdr:to>
    <xdr:sp macro="" textlink="">
      <xdr:nvSpPr>
        <xdr:cNvPr id="20" name="テキスト ボックス 19">
          <a:extLst>
            <a:ext uri="{FF2B5EF4-FFF2-40B4-BE49-F238E27FC236}">
              <a16:creationId xmlns:a16="http://schemas.microsoft.com/office/drawing/2014/main" xmlns="" id="{00000000-0008-0000-0000-000014000000}"/>
            </a:ext>
          </a:extLst>
        </xdr:cNvPr>
        <xdr:cNvSpPr txBox="1"/>
      </xdr:nvSpPr>
      <xdr:spPr>
        <a:xfrm>
          <a:off x="7858127" y="7400926"/>
          <a:ext cx="2500311" cy="3000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50">
              <a:solidFill>
                <a:schemeClr val="dk1"/>
              </a:solidFill>
              <a:effectLst/>
              <a:latin typeface="Meiryo UI" panose="020B0604030504040204" pitchFamily="50" charset="-128"/>
              <a:ea typeface="Meiryo UI" panose="020B0604030504040204" pitchFamily="50" charset="-128"/>
              <a:cs typeface="+mn-cs"/>
            </a:rPr>
            <a:t>「エアコン（</a:t>
          </a:r>
          <a:r>
            <a:rPr kumimoji="1" lang="en-US" altLang="ja-JP" sz="1050">
              <a:solidFill>
                <a:schemeClr val="dk1"/>
              </a:solidFill>
              <a:effectLst/>
              <a:latin typeface="Meiryo UI" panose="020B0604030504040204" pitchFamily="50" charset="-128"/>
              <a:ea typeface="Meiryo UI" panose="020B0604030504040204" pitchFamily="50" charset="-128"/>
              <a:cs typeface="+mn-cs"/>
            </a:rPr>
            <a:t>2005</a:t>
          </a:r>
          <a:r>
            <a:rPr kumimoji="1" lang="ja-JP" altLang="ja-JP" sz="1050">
              <a:solidFill>
                <a:schemeClr val="dk1"/>
              </a:solidFill>
              <a:effectLst/>
              <a:latin typeface="Meiryo UI" panose="020B0604030504040204" pitchFamily="50" charset="-128"/>
              <a:ea typeface="Meiryo UI" panose="020B0604030504040204" pitchFamily="50" charset="-128"/>
              <a:cs typeface="+mn-cs"/>
            </a:rPr>
            <a:t>年以降）」</a:t>
          </a:r>
          <a:r>
            <a:rPr kumimoji="1" lang="ja-JP" altLang="en-US" sz="1050">
              <a:solidFill>
                <a:schemeClr val="dk1"/>
              </a:solidFill>
              <a:effectLst/>
              <a:latin typeface="Meiryo UI" panose="020B0604030504040204" pitchFamily="50" charset="-128"/>
              <a:ea typeface="Meiryo UI" panose="020B0604030504040204" pitchFamily="50" charset="-128"/>
              <a:cs typeface="+mn-cs"/>
            </a:rPr>
            <a:t>単独の削減率</a:t>
          </a:r>
          <a:endParaRPr kumimoji="1" lang="en-US" altLang="ja-JP" sz="1050">
            <a:solidFill>
              <a:schemeClr val="dk1"/>
            </a:solidFill>
            <a:effectLst/>
            <a:latin typeface="Meiryo UI" panose="020B0604030504040204" pitchFamily="50" charset="-128"/>
            <a:ea typeface="Meiryo UI" panose="020B0604030504040204" pitchFamily="50" charset="-128"/>
            <a:cs typeface="+mn-cs"/>
          </a:endParaRPr>
        </a:p>
        <a:p>
          <a:endParaRPr kumimoji="1" lang="ja-JP" altLang="en-US" sz="1100"/>
        </a:p>
      </xdr:txBody>
    </xdr:sp>
    <xdr:clientData/>
  </xdr:twoCellAnchor>
  <xdr:twoCellAnchor>
    <xdr:from>
      <xdr:col>9</xdr:col>
      <xdr:colOff>323851</xdr:colOff>
      <xdr:row>38</xdr:row>
      <xdr:rowOff>38101</xdr:rowOff>
    </xdr:from>
    <xdr:to>
      <xdr:col>9</xdr:col>
      <xdr:colOff>600076</xdr:colOff>
      <xdr:row>38</xdr:row>
      <xdr:rowOff>166688</xdr:rowOff>
    </xdr:to>
    <xdr:sp macro="" textlink="">
      <xdr:nvSpPr>
        <xdr:cNvPr id="21" name="左矢印 20">
          <a:extLst>
            <a:ext uri="{FF2B5EF4-FFF2-40B4-BE49-F238E27FC236}">
              <a16:creationId xmlns:a16="http://schemas.microsoft.com/office/drawing/2014/main" xmlns="" id="{00000000-0008-0000-0000-000015000000}"/>
            </a:ext>
          </a:extLst>
        </xdr:cNvPr>
        <xdr:cNvSpPr/>
      </xdr:nvSpPr>
      <xdr:spPr>
        <a:xfrm>
          <a:off x="7453314" y="7481889"/>
          <a:ext cx="276225" cy="1285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104776</xdr:colOff>
      <xdr:row>47</xdr:row>
      <xdr:rowOff>133350</xdr:rowOff>
    </xdr:from>
    <xdr:to>
      <xdr:col>14</xdr:col>
      <xdr:colOff>23814</xdr:colOff>
      <xdr:row>49</xdr:row>
      <xdr:rowOff>52388</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7877176" y="9291638"/>
          <a:ext cx="2509838" cy="3000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50">
              <a:solidFill>
                <a:schemeClr val="dk1"/>
              </a:solidFill>
              <a:effectLst/>
              <a:latin typeface="Meiryo UI" panose="020B0604030504040204" pitchFamily="50" charset="-128"/>
              <a:ea typeface="Meiryo UI" panose="020B0604030504040204" pitchFamily="50" charset="-128"/>
              <a:cs typeface="+mn-cs"/>
            </a:rPr>
            <a:t>「エアコン（</a:t>
          </a:r>
          <a:r>
            <a:rPr kumimoji="1" lang="en-US" altLang="ja-JP" sz="1050">
              <a:solidFill>
                <a:schemeClr val="dk1"/>
              </a:solidFill>
              <a:effectLst/>
              <a:latin typeface="Meiryo UI" panose="020B0604030504040204" pitchFamily="50" charset="-128"/>
              <a:ea typeface="Meiryo UI" panose="020B0604030504040204" pitchFamily="50" charset="-128"/>
              <a:cs typeface="+mn-cs"/>
            </a:rPr>
            <a:t>2005</a:t>
          </a:r>
          <a:r>
            <a:rPr kumimoji="1" lang="ja-JP" altLang="ja-JP" sz="1050">
              <a:solidFill>
                <a:schemeClr val="dk1"/>
              </a:solidFill>
              <a:effectLst/>
              <a:latin typeface="Meiryo UI" panose="020B0604030504040204" pitchFamily="50" charset="-128"/>
              <a:ea typeface="Meiryo UI" panose="020B0604030504040204" pitchFamily="50" charset="-128"/>
              <a:cs typeface="+mn-cs"/>
            </a:rPr>
            <a:t>年以降）」</a:t>
          </a:r>
          <a:r>
            <a:rPr kumimoji="1" lang="ja-JP" altLang="en-US" sz="1050">
              <a:solidFill>
                <a:schemeClr val="dk1"/>
              </a:solidFill>
              <a:effectLst/>
              <a:latin typeface="Meiryo UI" panose="020B0604030504040204" pitchFamily="50" charset="-128"/>
              <a:ea typeface="Meiryo UI" panose="020B0604030504040204" pitchFamily="50" charset="-128"/>
              <a:cs typeface="+mn-cs"/>
            </a:rPr>
            <a:t>単独の削減費</a:t>
          </a:r>
          <a:endParaRPr kumimoji="1" lang="en-US" altLang="ja-JP" sz="1050">
            <a:solidFill>
              <a:schemeClr val="dk1"/>
            </a:solidFill>
            <a:effectLst/>
            <a:latin typeface="Meiryo UI" panose="020B0604030504040204" pitchFamily="50" charset="-128"/>
            <a:ea typeface="Meiryo UI" panose="020B0604030504040204" pitchFamily="50" charset="-128"/>
            <a:cs typeface="+mn-cs"/>
          </a:endParaRPr>
        </a:p>
        <a:p>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oneCell">
    <xdr:from>
      <xdr:col>1</xdr:col>
      <xdr:colOff>71437</xdr:colOff>
      <xdr:row>9</xdr:row>
      <xdr:rowOff>132113</xdr:rowOff>
    </xdr:from>
    <xdr:to>
      <xdr:col>10</xdr:col>
      <xdr:colOff>428625</xdr:colOff>
      <xdr:row>25</xdr:row>
      <xdr:rowOff>90487</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2"/>
        <a:srcRect r="473"/>
        <a:stretch/>
      </xdr:blipFill>
      <xdr:spPr>
        <a:xfrm>
          <a:off x="485775" y="2051401"/>
          <a:ext cx="7715250" cy="3006374"/>
        </a:xfrm>
        <a:prstGeom prst="rect">
          <a:avLst/>
        </a:prstGeom>
      </xdr:spPr>
    </xdr:pic>
    <xdr:clientData/>
  </xdr:twoCellAnchor>
  <xdr:twoCellAnchor>
    <xdr:from>
      <xdr:col>11</xdr:col>
      <xdr:colOff>119063</xdr:colOff>
      <xdr:row>22</xdr:row>
      <xdr:rowOff>180975</xdr:rowOff>
    </xdr:from>
    <xdr:to>
      <xdr:col>14</xdr:col>
      <xdr:colOff>242889</xdr:colOff>
      <xdr:row>25</xdr:row>
      <xdr:rowOff>142874</xdr:rowOff>
    </xdr:to>
    <xdr:sp macro="" textlink="">
      <xdr:nvSpPr>
        <xdr:cNvPr id="18" name="テキスト ボックス 17">
          <a:extLst>
            <a:ext uri="{FF2B5EF4-FFF2-40B4-BE49-F238E27FC236}">
              <a16:creationId xmlns:a16="http://schemas.microsoft.com/office/drawing/2014/main" xmlns="" id="{1042FFC6-3885-4D1A-AD7E-F291BAB4E68E}"/>
            </a:ext>
          </a:extLst>
        </xdr:cNvPr>
        <xdr:cNvSpPr txBox="1"/>
      </xdr:nvSpPr>
      <xdr:spPr>
        <a:xfrm>
          <a:off x="8539163" y="4576763"/>
          <a:ext cx="2066926" cy="533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「エアコン（</a:t>
          </a:r>
          <a:r>
            <a:rPr kumimoji="1" lang="en-US" altLang="ja-JP" sz="1000">
              <a:latin typeface="Meiryo UI" panose="020B0604030504040204" pitchFamily="50" charset="-128"/>
              <a:ea typeface="Meiryo UI" panose="020B0604030504040204" pitchFamily="50" charset="-128"/>
            </a:rPr>
            <a:t>2005</a:t>
          </a:r>
          <a:r>
            <a:rPr kumimoji="1" lang="ja-JP" altLang="en-US" sz="1000">
              <a:latin typeface="Meiryo UI" panose="020B0604030504040204" pitchFamily="50" charset="-128"/>
              <a:ea typeface="Meiryo UI" panose="020B0604030504040204" pitchFamily="50" charset="-128"/>
            </a:rPr>
            <a:t>年以降）」以外は</a:t>
          </a:r>
          <a:endParaRPr kumimoji="1" lang="en-US" altLang="ja-JP" sz="1000">
            <a:latin typeface="Meiryo UI" panose="020B0604030504040204" pitchFamily="50" charset="-128"/>
            <a:ea typeface="Meiryo UI" panose="020B0604030504040204" pitchFamily="50" charset="-128"/>
          </a:endParaRPr>
        </a:p>
        <a:p>
          <a:r>
            <a:rPr kumimoji="1" lang="ja-JP" altLang="en-US" sz="1000">
              <a:latin typeface="Meiryo UI" panose="020B0604030504040204" pitchFamily="50" charset="-128"/>
              <a:ea typeface="Meiryo UI" panose="020B0604030504040204" pitchFamily="50" charset="-128"/>
            </a:rPr>
            <a:t>＜</a:t>
          </a:r>
          <a:r>
            <a:rPr kumimoji="0"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標準＞を選択する</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xdr:col>
      <xdr:colOff>71437</xdr:colOff>
      <xdr:row>20</xdr:row>
      <xdr:rowOff>90487</xdr:rowOff>
    </xdr:from>
    <xdr:to>
      <xdr:col>2</xdr:col>
      <xdr:colOff>428625</xdr:colOff>
      <xdr:row>22</xdr:row>
      <xdr:rowOff>71437</xdr:rowOff>
    </xdr:to>
    <xdr:sp macro="" textlink="">
      <xdr:nvSpPr>
        <xdr:cNvPr id="4" name="正方形/長方形 3">
          <a:extLst>
            <a:ext uri="{FF2B5EF4-FFF2-40B4-BE49-F238E27FC236}">
              <a16:creationId xmlns:a16="http://schemas.microsoft.com/office/drawing/2014/main" xmlns="" id="{5847E021-19CC-4442-B60D-654194C14164}"/>
            </a:ext>
          </a:extLst>
        </xdr:cNvPr>
        <xdr:cNvSpPr/>
      </xdr:nvSpPr>
      <xdr:spPr>
        <a:xfrm>
          <a:off x="485775" y="4105275"/>
          <a:ext cx="1657350" cy="361950"/>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623888</xdr:colOff>
      <xdr:row>20</xdr:row>
      <xdr:rowOff>90487</xdr:rowOff>
    </xdr:from>
    <xdr:to>
      <xdr:col>10</xdr:col>
      <xdr:colOff>452438</xdr:colOff>
      <xdr:row>22</xdr:row>
      <xdr:rowOff>71437</xdr:rowOff>
    </xdr:to>
    <xdr:sp macro="" textlink="">
      <xdr:nvSpPr>
        <xdr:cNvPr id="25" name="正方形/長方形 24">
          <a:extLst>
            <a:ext uri="{FF2B5EF4-FFF2-40B4-BE49-F238E27FC236}">
              <a16:creationId xmlns:a16="http://schemas.microsoft.com/office/drawing/2014/main" xmlns="" id="{E430BE12-684B-49F8-9125-44F788458920}"/>
            </a:ext>
          </a:extLst>
        </xdr:cNvPr>
        <xdr:cNvSpPr/>
      </xdr:nvSpPr>
      <xdr:spPr>
        <a:xfrm>
          <a:off x="5157788" y="4105275"/>
          <a:ext cx="3067050" cy="361950"/>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119063</xdr:colOff>
      <xdr:row>19</xdr:row>
      <xdr:rowOff>114300</xdr:rowOff>
    </xdr:from>
    <xdr:to>
      <xdr:col>14</xdr:col>
      <xdr:colOff>242889</xdr:colOff>
      <xdr:row>22</xdr:row>
      <xdr:rowOff>76199</xdr:rowOff>
    </xdr:to>
    <xdr:sp macro="" textlink="">
      <xdr:nvSpPr>
        <xdr:cNvPr id="27" name="テキスト ボックス 26">
          <a:extLst>
            <a:ext uri="{FF2B5EF4-FFF2-40B4-BE49-F238E27FC236}">
              <a16:creationId xmlns:a16="http://schemas.microsoft.com/office/drawing/2014/main" xmlns="" id="{DF56057D-2CCB-4B2E-AF12-FAAB63AE3D56}"/>
            </a:ext>
          </a:extLst>
        </xdr:cNvPr>
        <xdr:cNvSpPr txBox="1"/>
      </xdr:nvSpPr>
      <xdr:spPr>
        <a:xfrm>
          <a:off x="8539163" y="3938588"/>
          <a:ext cx="2066926" cy="533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暖房設備の</a:t>
          </a:r>
          <a:r>
            <a:rPr kumimoji="1" lang="en-US" altLang="ja-JP" sz="1000">
              <a:latin typeface="Meiryo UI" panose="020B0604030504040204" pitchFamily="50" charset="-128"/>
              <a:ea typeface="Meiryo UI" panose="020B0604030504040204" pitchFamily="50" charset="-128"/>
            </a:rPr>
            <a:t>AFTER</a:t>
          </a:r>
          <a:r>
            <a:rPr kumimoji="1" lang="ja-JP" altLang="en-US" sz="1000">
              <a:latin typeface="Meiryo UI" panose="020B0604030504040204" pitchFamily="50" charset="-128"/>
              <a:ea typeface="Meiryo UI" panose="020B0604030504040204" pitchFamily="50" charset="-128"/>
            </a:rPr>
            <a:t>のみ、提案内容を入力（変更）する</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395288</xdr:colOff>
      <xdr:row>36</xdr:row>
      <xdr:rowOff>125515</xdr:rowOff>
    </xdr:from>
    <xdr:to>
      <xdr:col>13</xdr:col>
      <xdr:colOff>254475</xdr:colOff>
      <xdr:row>47</xdr:row>
      <xdr:rowOff>175044</xdr:rowOff>
    </xdr:to>
    <xdr:pic>
      <xdr:nvPicPr>
        <xdr:cNvPr id="3" name="図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stretch>
          <a:fillRect/>
        </a:stretch>
      </xdr:blipFill>
      <xdr:spPr>
        <a:xfrm>
          <a:off x="395288" y="2144815"/>
          <a:ext cx="7941150" cy="2169273"/>
        </a:xfrm>
        <a:prstGeom prst="rect">
          <a:avLst/>
        </a:prstGeom>
        <a:ln>
          <a:solidFill>
            <a:sysClr val="windowText" lastClr="000000"/>
          </a:solidFill>
        </a:ln>
      </xdr:spPr>
    </xdr:pic>
    <xdr:clientData/>
  </xdr:twoCellAnchor>
  <xdr:twoCellAnchor editAs="oneCell">
    <xdr:from>
      <xdr:col>1</xdr:col>
      <xdr:colOff>376237</xdr:colOff>
      <xdr:row>18</xdr:row>
      <xdr:rowOff>70076</xdr:rowOff>
    </xdr:from>
    <xdr:to>
      <xdr:col>10</xdr:col>
      <xdr:colOff>501681</xdr:colOff>
      <xdr:row>32</xdr:row>
      <xdr:rowOff>65810</xdr:rowOff>
    </xdr:to>
    <xdr:pic>
      <xdr:nvPicPr>
        <xdr:cNvPr id="5" name="図 4">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2"/>
        <a:stretch>
          <a:fillRect/>
        </a:stretch>
      </xdr:blipFill>
      <xdr:spPr>
        <a:xfrm>
          <a:off x="376237" y="2089376"/>
          <a:ext cx="6265099" cy="2692174"/>
        </a:xfrm>
        <a:prstGeom prst="rect">
          <a:avLst/>
        </a:prstGeom>
        <a:ln>
          <a:solidFill>
            <a:sysClr val="windowText" lastClr="000000"/>
          </a:solidFill>
        </a:ln>
      </xdr:spPr>
    </xdr:pic>
    <xdr:clientData/>
  </xdr:twoCellAnchor>
  <xdr:twoCellAnchor>
    <xdr:from>
      <xdr:col>2</xdr:col>
      <xdr:colOff>647700</xdr:colOff>
      <xdr:row>26</xdr:row>
      <xdr:rowOff>90489</xdr:rowOff>
    </xdr:from>
    <xdr:to>
      <xdr:col>2</xdr:col>
      <xdr:colOff>814387</xdr:colOff>
      <xdr:row>27</xdr:row>
      <xdr:rowOff>19051</xdr:rowOff>
    </xdr:to>
    <xdr:sp macro="" textlink="">
      <xdr:nvSpPr>
        <xdr:cNvPr id="6" name="正方形/長方形 5">
          <a:extLst>
            <a:ext uri="{FF2B5EF4-FFF2-40B4-BE49-F238E27FC236}">
              <a16:creationId xmlns:a16="http://schemas.microsoft.com/office/drawing/2014/main" xmlns="" id="{00000000-0008-0000-0600-000006000000}"/>
            </a:ext>
          </a:extLst>
        </xdr:cNvPr>
        <xdr:cNvSpPr/>
      </xdr:nvSpPr>
      <xdr:spPr>
        <a:xfrm>
          <a:off x="1824038" y="6286502"/>
          <a:ext cx="166687" cy="11906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252412</xdr:colOff>
      <xdr:row>22</xdr:row>
      <xdr:rowOff>128589</xdr:rowOff>
    </xdr:from>
    <xdr:to>
      <xdr:col>9</xdr:col>
      <xdr:colOff>76200</xdr:colOff>
      <xdr:row>25</xdr:row>
      <xdr:rowOff>138114</xdr:rowOff>
    </xdr:to>
    <xdr:sp macro="" textlink="">
      <xdr:nvSpPr>
        <xdr:cNvPr id="7" name="テキスト ボックス 6">
          <a:extLst>
            <a:ext uri="{FF2B5EF4-FFF2-40B4-BE49-F238E27FC236}">
              <a16:creationId xmlns:a16="http://schemas.microsoft.com/office/drawing/2014/main" xmlns="" id="{00000000-0008-0000-0600-000007000000}"/>
            </a:ext>
          </a:extLst>
        </xdr:cNvPr>
        <xdr:cNvSpPr txBox="1"/>
      </xdr:nvSpPr>
      <xdr:spPr>
        <a:xfrm>
          <a:off x="2843212" y="2795589"/>
          <a:ext cx="2414588" cy="495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eiryo UI" panose="020B0604030504040204" pitchFamily="50" charset="-128"/>
              <a:ea typeface="Meiryo UI" panose="020B0604030504040204" pitchFamily="50" charset="-128"/>
            </a:rPr>
            <a:t>年間日射地域区分がわからない場合は、この「？」をクリックします</a:t>
          </a:r>
        </a:p>
      </xdr:txBody>
    </xdr:sp>
    <xdr:clientData/>
  </xdr:twoCellAnchor>
  <xdr:twoCellAnchor>
    <xdr:from>
      <xdr:col>2</xdr:col>
      <xdr:colOff>814387</xdr:colOff>
      <xdr:row>24</xdr:row>
      <xdr:rowOff>38102</xdr:rowOff>
    </xdr:from>
    <xdr:to>
      <xdr:col>5</xdr:col>
      <xdr:colOff>252412</xdr:colOff>
      <xdr:row>26</xdr:row>
      <xdr:rowOff>150020</xdr:rowOff>
    </xdr:to>
    <xdr:cxnSp macro="">
      <xdr:nvCxnSpPr>
        <xdr:cNvPr id="9" name="直線コネクタ 8">
          <a:extLst>
            <a:ext uri="{FF2B5EF4-FFF2-40B4-BE49-F238E27FC236}">
              <a16:creationId xmlns:a16="http://schemas.microsoft.com/office/drawing/2014/main" xmlns="" id="{00000000-0008-0000-0600-000009000000}"/>
            </a:ext>
          </a:extLst>
        </xdr:cNvPr>
        <xdr:cNvCxnSpPr>
          <a:stCxn id="7" idx="1"/>
          <a:endCxn id="6" idx="3"/>
        </xdr:cNvCxnSpPr>
      </xdr:nvCxnSpPr>
      <xdr:spPr>
        <a:xfrm flipH="1">
          <a:off x="1990725" y="5853115"/>
          <a:ext cx="1685925" cy="492918"/>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368070</xdr:colOff>
      <xdr:row>53</xdr:row>
      <xdr:rowOff>104775</xdr:rowOff>
    </xdr:from>
    <xdr:to>
      <xdr:col>13</xdr:col>
      <xdr:colOff>298542</xdr:colOff>
      <xdr:row>85</xdr:row>
      <xdr:rowOff>129452</xdr:rowOff>
    </xdr:to>
    <xdr:pic>
      <xdr:nvPicPr>
        <xdr:cNvPr id="13" name="図 12">
          <a:extLst>
            <a:ext uri="{FF2B5EF4-FFF2-40B4-BE49-F238E27FC236}">
              <a16:creationId xmlns:a16="http://schemas.microsoft.com/office/drawing/2014/main" xmlns="" id="{00000000-0008-0000-0600-00000D000000}"/>
            </a:ext>
          </a:extLst>
        </xdr:cNvPr>
        <xdr:cNvPicPr>
          <a:picLocks noChangeAspect="1"/>
        </xdr:cNvPicPr>
      </xdr:nvPicPr>
      <xdr:blipFill>
        <a:blip xmlns:r="http://schemas.openxmlformats.org/officeDocument/2006/relationships" r:embed="rId3"/>
        <a:stretch>
          <a:fillRect/>
        </a:stretch>
      </xdr:blipFill>
      <xdr:spPr>
        <a:xfrm>
          <a:off x="368070" y="8115300"/>
          <a:ext cx="8012435" cy="6186487"/>
        </a:xfrm>
        <a:prstGeom prst="rect">
          <a:avLst/>
        </a:prstGeom>
      </xdr:spPr>
    </xdr:pic>
    <xdr:clientData/>
  </xdr:twoCellAnchor>
  <xdr:twoCellAnchor editAs="oneCell">
    <xdr:from>
      <xdr:col>1</xdr:col>
      <xdr:colOff>514901</xdr:colOff>
      <xdr:row>89</xdr:row>
      <xdr:rowOff>0</xdr:rowOff>
    </xdr:from>
    <xdr:to>
      <xdr:col>6</xdr:col>
      <xdr:colOff>452936</xdr:colOff>
      <xdr:row>113</xdr:row>
      <xdr:rowOff>59729</xdr:rowOff>
    </xdr:to>
    <xdr:pic>
      <xdr:nvPicPr>
        <xdr:cNvPr id="19" name="図 18">
          <a:extLst>
            <a:ext uri="{FF2B5EF4-FFF2-40B4-BE49-F238E27FC236}">
              <a16:creationId xmlns:a16="http://schemas.microsoft.com/office/drawing/2014/main" xmlns="" id="{00000000-0008-0000-0600-000013000000}"/>
            </a:ext>
          </a:extLst>
        </xdr:cNvPr>
        <xdr:cNvPicPr>
          <a:picLocks noChangeAspect="1"/>
        </xdr:cNvPicPr>
      </xdr:nvPicPr>
      <xdr:blipFill>
        <a:blip xmlns:r="http://schemas.openxmlformats.org/officeDocument/2006/relationships" r:embed="rId4"/>
        <a:stretch>
          <a:fillRect/>
        </a:stretch>
      </xdr:blipFill>
      <xdr:spPr>
        <a:xfrm>
          <a:off x="514901" y="14811375"/>
          <a:ext cx="3486891" cy="4680220"/>
        </a:xfrm>
        <a:prstGeom prst="rect">
          <a:avLst/>
        </a:prstGeom>
      </xdr:spPr>
    </xdr:pic>
    <xdr:clientData/>
  </xdr:twoCellAnchor>
  <xdr:twoCellAnchor editAs="oneCell">
    <xdr:from>
      <xdr:col>1</xdr:col>
      <xdr:colOff>539589</xdr:colOff>
      <xdr:row>117</xdr:row>
      <xdr:rowOff>76202</xdr:rowOff>
    </xdr:from>
    <xdr:to>
      <xdr:col>13</xdr:col>
      <xdr:colOff>280987</xdr:colOff>
      <xdr:row>137</xdr:row>
      <xdr:rowOff>54377</xdr:rowOff>
    </xdr:to>
    <xdr:pic>
      <xdr:nvPicPr>
        <xdr:cNvPr id="20" name="図 19">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5"/>
        <a:stretch>
          <a:fillRect/>
        </a:stretch>
      </xdr:blipFill>
      <xdr:spPr>
        <a:xfrm>
          <a:off x="539589" y="20069177"/>
          <a:ext cx="7823361" cy="3829738"/>
        </a:xfrm>
        <a:prstGeom prst="rect">
          <a:avLst/>
        </a:prstGeom>
        <a:ln>
          <a:solidFill>
            <a:sysClr val="windowText" lastClr="000000"/>
          </a:solidFill>
        </a:ln>
      </xdr:spPr>
    </xdr:pic>
    <xdr:clientData/>
  </xdr:twoCellAnchor>
  <xdr:twoCellAnchor>
    <xdr:from>
      <xdr:col>12</xdr:col>
      <xdr:colOff>448397</xdr:colOff>
      <xdr:row>118</xdr:row>
      <xdr:rowOff>35069</xdr:rowOff>
    </xdr:from>
    <xdr:to>
      <xdr:col>13</xdr:col>
      <xdr:colOff>367434</xdr:colOff>
      <xdr:row>120</xdr:row>
      <xdr:rowOff>73169</xdr:rowOff>
    </xdr:to>
    <xdr:sp macro="" textlink="">
      <xdr:nvSpPr>
        <xdr:cNvPr id="21" name="正方形/長方形 20">
          <a:extLst>
            <a:ext uri="{FF2B5EF4-FFF2-40B4-BE49-F238E27FC236}">
              <a16:creationId xmlns:a16="http://schemas.microsoft.com/office/drawing/2014/main" xmlns="" id="{00000000-0008-0000-0600-000015000000}"/>
            </a:ext>
          </a:extLst>
        </xdr:cNvPr>
        <xdr:cNvSpPr/>
      </xdr:nvSpPr>
      <xdr:spPr>
        <a:xfrm>
          <a:off x="7502670" y="21538478"/>
          <a:ext cx="530946" cy="37291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498312</xdr:colOff>
      <xdr:row>140</xdr:row>
      <xdr:rowOff>142876</xdr:rowOff>
    </xdr:from>
    <xdr:to>
      <xdr:col>7</xdr:col>
      <xdr:colOff>47626</xdr:colOff>
      <xdr:row>165</xdr:row>
      <xdr:rowOff>133425</xdr:rowOff>
    </xdr:to>
    <xdr:pic>
      <xdr:nvPicPr>
        <xdr:cNvPr id="26" name="図 25">
          <a:extLst>
            <a:ext uri="{FF2B5EF4-FFF2-40B4-BE49-F238E27FC236}">
              <a16:creationId xmlns:a16="http://schemas.microsoft.com/office/drawing/2014/main" xmlns="" id="{00000000-0008-0000-0600-00001A000000}"/>
            </a:ext>
          </a:extLst>
        </xdr:cNvPr>
        <xdr:cNvPicPr>
          <a:picLocks noChangeAspect="1"/>
        </xdr:cNvPicPr>
      </xdr:nvPicPr>
      <xdr:blipFill>
        <a:blip xmlns:r="http://schemas.openxmlformats.org/officeDocument/2006/relationships" r:embed="rId6"/>
        <a:stretch>
          <a:fillRect/>
        </a:stretch>
      </xdr:blipFill>
      <xdr:spPr>
        <a:xfrm>
          <a:off x="498312" y="24345901"/>
          <a:ext cx="3745076" cy="4805004"/>
        </a:xfrm>
        <a:prstGeom prst="rect">
          <a:avLst/>
        </a:prstGeom>
        <a:ln>
          <a:solidFill>
            <a:sysClr val="windowText" lastClr="000000"/>
          </a:solidFill>
        </a:ln>
      </xdr:spPr>
    </xdr:pic>
    <xdr:clientData/>
  </xdr:twoCellAnchor>
  <xdr:twoCellAnchor>
    <xdr:from>
      <xdr:col>2</xdr:col>
      <xdr:colOff>323850</xdr:colOff>
      <xdr:row>146</xdr:row>
      <xdr:rowOff>185738</xdr:rowOff>
    </xdr:from>
    <xdr:to>
      <xdr:col>3</xdr:col>
      <xdr:colOff>533400</xdr:colOff>
      <xdr:row>149</xdr:row>
      <xdr:rowOff>61913</xdr:rowOff>
    </xdr:to>
    <xdr:sp macro="" textlink="">
      <xdr:nvSpPr>
        <xdr:cNvPr id="28" name="正方形/長方形 27">
          <a:extLst>
            <a:ext uri="{FF2B5EF4-FFF2-40B4-BE49-F238E27FC236}">
              <a16:creationId xmlns:a16="http://schemas.microsoft.com/office/drawing/2014/main" xmlns="" id="{00000000-0008-0000-0600-00001C000000}"/>
            </a:ext>
          </a:extLst>
        </xdr:cNvPr>
        <xdr:cNvSpPr/>
      </xdr:nvSpPr>
      <xdr:spPr>
        <a:xfrm>
          <a:off x="1500188" y="31956376"/>
          <a:ext cx="1162050" cy="4476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523876</xdr:colOff>
      <xdr:row>169</xdr:row>
      <xdr:rowOff>36139</xdr:rowOff>
    </xdr:from>
    <xdr:to>
      <xdr:col>11</xdr:col>
      <xdr:colOff>307826</xdr:colOff>
      <xdr:row>180</xdr:row>
      <xdr:rowOff>156137</xdr:rowOff>
    </xdr:to>
    <xdr:pic>
      <xdr:nvPicPr>
        <xdr:cNvPr id="29" name="図 28">
          <a:extLst>
            <a:ext uri="{FF2B5EF4-FFF2-40B4-BE49-F238E27FC236}">
              <a16:creationId xmlns:a16="http://schemas.microsoft.com/office/drawing/2014/main" xmlns="" id="{00000000-0008-0000-0600-00001D000000}"/>
            </a:ext>
          </a:extLst>
        </xdr:cNvPr>
        <xdr:cNvPicPr>
          <a:picLocks noChangeAspect="1"/>
        </xdr:cNvPicPr>
      </xdr:nvPicPr>
      <xdr:blipFill>
        <a:blip xmlns:r="http://schemas.openxmlformats.org/officeDocument/2006/relationships" r:embed="rId7"/>
        <a:stretch>
          <a:fillRect/>
        </a:stretch>
      </xdr:blipFill>
      <xdr:spPr>
        <a:xfrm>
          <a:off x="1052514" y="37331277"/>
          <a:ext cx="6565750" cy="2215498"/>
        </a:xfrm>
        <a:prstGeom prst="rect">
          <a:avLst/>
        </a:prstGeom>
        <a:ln>
          <a:solidFill>
            <a:sysClr val="windowText" lastClr="000000"/>
          </a:solidFill>
        </a:ln>
      </xdr:spPr>
    </xdr:pic>
    <xdr:clientData/>
  </xdr:twoCellAnchor>
  <xdr:twoCellAnchor>
    <xdr:from>
      <xdr:col>5</xdr:col>
      <xdr:colOff>311006</xdr:colOff>
      <xdr:row>178</xdr:row>
      <xdr:rowOff>162935</xdr:rowOff>
    </xdr:from>
    <xdr:to>
      <xdr:col>7</xdr:col>
      <xdr:colOff>242887</xdr:colOff>
      <xdr:row>180</xdr:row>
      <xdr:rowOff>90487</xdr:rowOff>
    </xdr:to>
    <xdr:sp macro="" textlink="">
      <xdr:nvSpPr>
        <xdr:cNvPr id="30" name="正方形/長方形 29">
          <a:extLst>
            <a:ext uri="{FF2B5EF4-FFF2-40B4-BE49-F238E27FC236}">
              <a16:creationId xmlns:a16="http://schemas.microsoft.com/office/drawing/2014/main" xmlns="" id="{00000000-0008-0000-0600-00001E000000}"/>
            </a:ext>
          </a:extLst>
        </xdr:cNvPr>
        <xdr:cNvSpPr/>
      </xdr:nvSpPr>
      <xdr:spPr>
        <a:xfrm>
          <a:off x="3735244" y="35362573"/>
          <a:ext cx="1227281" cy="3085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80962</xdr:colOff>
      <xdr:row>38</xdr:row>
      <xdr:rowOff>95250</xdr:rowOff>
    </xdr:from>
    <xdr:to>
      <xdr:col>8</xdr:col>
      <xdr:colOff>114300</xdr:colOff>
      <xdr:row>40</xdr:row>
      <xdr:rowOff>166688</xdr:rowOff>
    </xdr:to>
    <xdr:sp macro="" textlink="">
      <xdr:nvSpPr>
        <xdr:cNvPr id="4" name="正方形/長方形 3">
          <a:extLst>
            <a:ext uri="{FF2B5EF4-FFF2-40B4-BE49-F238E27FC236}">
              <a16:creationId xmlns:a16="http://schemas.microsoft.com/office/drawing/2014/main" xmlns="" id="{00000000-0008-0000-0600-000004000000}"/>
            </a:ext>
          </a:extLst>
        </xdr:cNvPr>
        <xdr:cNvSpPr/>
      </xdr:nvSpPr>
      <xdr:spPr>
        <a:xfrm>
          <a:off x="4800600" y="8629650"/>
          <a:ext cx="681038" cy="4524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133348</xdr:colOff>
      <xdr:row>44</xdr:row>
      <xdr:rowOff>0</xdr:rowOff>
    </xdr:from>
    <xdr:to>
      <xdr:col>5</xdr:col>
      <xdr:colOff>323849</xdr:colOff>
      <xdr:row>44</xdr:row>
      <xdr:rowOff>185738</xdr:rowOff>
    </xdr:to>
    <xdr:sp macro="" textlink="">
      <xdr:nvSpPr>
        <xdr:cNvPr id="31" name="正方形/長方形 30">
          <a:extLst>
            <a:ext uri="{FF2B5EF4-FFF2-40B4-BE49-F238E27FC236}">
              <a16:creationId xmlns:a16="http://schemas.microsoft.com/office/drawing/2014/main" xmlns="" id="{00000000-0008-0000-0600-00001F000000}"/>
            </a:ext>
          </a:extLst>
        </xdr:cNvPr>
        <xdr:cNvSpPr/>
      </xdr:nvSpPr>
      <xdr:spPr>
        <a:xfrm>
          <a:off x="2909886" y="9677400"/>
          <a:ext cx="838201" cy="1857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595312</xdr:colOff>
      <xdr:row>54</xdr:row>
      <xdr:rowOff>57150</xdr:rowOff>
    </xdr:from>
    <xdr:to>
      <xdr:col>12</xdr:col>
      <xdr:colOff>447675</xdr:colOff>
      <xdr:row>56</xdr:row>
      <xdr:rowOff>19050</xdr:rowOff>
    </xdr:to>
    <xdr:sp macro="" textlink="">
      <xdr:nvSpPr>
        <xdr:cNvPr id="34" name="正方形/長方形 33">
          <a:extLst>
            <a:ext uri="{FF2B5EF4-FFF2-40B4-BE49-F238E27FC236}">
              <a16:creationId xmlns:a16="http://schemas.microsoft.com/office/drawing/2014/main" xmlns="" id="{00000000-0008-0000-0600-000022000000}"/>
            </a:ext>
          </a:extLst>
        </xdr:cNvPr>
        <xdr:cNvSpPr/>
      </xdr:nvSpPr>
      <xdr:spPr>
        <a:xfrm>
          <a:off x="7905750" y="11639550"/>
          <a:ext cx="500063" cy="3429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ユーザー定義 2">
      <a:dk1>
        <a:srgbClr val="000000"/>
      </a:dk1>
      <a:lt1>
        <a:srgbClr val="FFFFFF"/>
      </a:lt1>
      <a:dk2>
        <a:srgbClr val="F7F6F1"/>
      </a:dk2>
      <a:lt2>
        <a:srgbClr val="D8D6BA"/>
      </a:lt2>
      <a:accent1>
        <a:srgbClr val="9CBEBD"/>
      </a:accent1>
      <a:accent2>
        <a:srgbClr val="D2CB6C"/>
      </a:accent2>
      <a:accent3>
        <a:srgbClr val="9D9A93"/>
      </a:accent3>
      <a:accent4>
        <a:srgbClr val="C89F5D"/>
      </a:accent4>
      <a:accent5>
        <a:srgbClr val="A9A57C"/>
      </a:accent5>
      <a:accent6>
        <a:srgbClr val="95A39D"/>
      </a:accent6>
      <a:hlink>
        <a:srgbClr val="D25814"/>
      </a:hlink>
      <a:folHlink>
        <a:srgbClr val="849A0A"/>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imukyoku@to1985.net" TargetMode="External"/><Relationship Id="rId2"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hyperlink" Target="https://house.app.lowenergy.jp/" TargetMode="External"/><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499984740745262"/>
  </sheetPr>
  <dimension ref="A1:AI89"/>
  <sheetViews>
    <sheetView showGridLines="0" tabSelected="1" workbookViewId="0">
      <pane ySplit="2" topLeftCell="A3" activePane="bottomLeft" state="frozen"/>
      <selection pane="bottomLeft"/>
    </sheetView>
  </sheetViews>
  <sheetFormatPr baseColWidth="12" defaultColWidth="9" defaultRowHeight="17" x14ac:dyDescent="0"/>
  <cols>
    <col min="1" max="1" width="5.83203125" style="49" customWidth="1"/>
    <col min="2" max="2" width="18.1640625" style="44" customWidth="1"/>
    <col min="3" max="3" width="21.33203125" style="44" customWidth="1"/>
    <col min="4" max="7" width="9" style="44"/>
    <col min="8" max="8" width="9" style="44" customWidth="1"/>
    <col min="9" max="15" width="9" style="44"/>
    <col min="16" max="35" width="9" style="49"/>
    <col min="36" max="16384" width="9" style="44"/>
  </cols>
  <sheetData>
    <row r="1" spans="2:15" s="49" customFormat="1"/>
    <row r="2" spans="2:15" ht="31.25" customHeight="1">
      <c r="B2" s="47" t="s">
        <v>353</v>
      </c>
      <c r="C2" s="48"/>
      <c r="D2" s="48"/>
      <c r="E2" s="48"/>
      <c r="F2" s="48"/>
      <c r="G2" s="48"/>
      <c r="H2" s="48"/>
      <c r="I2" s="48"/>
      <c r="J2" s="48"/>
      <c r="K2" s="48"/>
      <c r="L2" s="48"/>
      <c r="M2" s="48"/>
      <c r="N2" s="48"/>
      <c r="O2" s="48"/>
    </row>
    <row r="3" spans="2:15" s="49" customFormat="1"/>
    <row r="4" spans="2:15" s="49" customFormat="1">
      <c r="B4" s="49" t="s">
        <v>465</v>
      </c>
    </row>
    <row r="5" spans="2:15" s="49" customFormat="1">
      <c r="B5" s="49" t="s">
        <v>466</v>
      </c>
    </row>
    <row r="6" spans="2:15" s="49" customFormat="1">
      <c r="B6" s="49" t="s">
        <v>491</v>
      </c>
    </row>
    <row r="7" spans="2:15" s="49" customFormat="1"/>
    <row r="8" spans="2:15" s="49" customFormat="1">
      <c r="B8" s="49" t="s">
        <v>496</v>
      </c>
    </row>
    <row r="9" spans="2:15" s="49" customFormat="1">
      <c r="B9" s="49" t="s">
        <v>495</v>
      </c>
    </row>
    <row r="10" spans="2:15" s="49" customFormat="1"/>
    <row r="11" spans="2:15" s="49" customFormat="1"/>
    <row r="12" spans="2:15" s="49" customFormat="1"/>
    <row r="13" spans="2:15" s="49" customFormat="1"/>
    <row r="14" spans="2:15" s="49" customFormat="1"/>
    <row r="15" spans="2:15" s="49" customFormat="1"/>
    <row r="16" spans="2:15" s="49" customFormat="1"/>
    <row r="17" s="49" customFormat="1"/>
    <row r="18" s="49" customFormat="1"/>
    <row r="19" s="49" customFormat="1"/>
    <row r="20" s="49" customFormat="1"/>
    <row r="21" s="49" customFormat="1"/>
    <row r="22" s="49" customFormat="1"/>
    <row r="23" s="49" customFormat="1"/>
    <row r="24" s="49" customFormat="1"/>
    <row r="25" s="49" customFormat="1"/>
    <row r="26" s="49" customFormat="1"/>
    <row r="27" s="49" customFormat="1"/>
    <row r="28" s="49" customFormat="1"/>
    <row r="29" s="49" customFormat="1"/>
    <row r="30" s="49" customFormat="1"/>
    <row r="31" s="49" customFormat="1"/>
    <row r="32" s="49" customFormat="1"/>
    <row r="33" s="49" customFormat="1"/>
    <row r="34" s="49" customFormat="1"/>
    <row r="35" s="49" customFormat="1"/>
    <row r="36" s="49" customFormat="1"/>
    <row r="37" s="49" customFormat="1"/>
    <row r="38" s="49" customFormat="1"/>
    <row r="39" s="49" customFormat="1"/>
    <row r="40" s="49" customFormat="1"/>
    <row r="41" s="49" customFormat="1"/>
    <row r="42" s="49" customFormat="1"/>
    <row r="43" s="49" customFormat="1"/>
    <row r="44" s="49" customFormat="1"/>
    <row r="45" s="49" customFormat="1"/>
    <row r="46" s="49" customFormat="1"/>
    <row r="47" s="49" customFormat="1"/>
    <row r="48" s="49" customFormat="1"/>
    <row r="49" spans="2:15" s="49" customFormat="1"/>
    <row r="50" spans="2:15" s="49" customFormat="1"/>
    <row r="51" spans="2:15" s="49" customFormat="1" ht="29" customHeight="1"/>
    <row r="52" spans="2:15" ht="24.5" customHeight="1">
      <c r="B52" s="54" t="s">
        <v>343</v>
      </c>
      <c r="C52" s="55"/>
      <c r="D52" s="56"/>
      <c r="E52" s="56"/>
      <c r="F52" s="56"/>
      <c r="G52" s="56"/>
      <c r="H52" s="56"/>
      <c r="I52" s="56"/>
      <c r="J52" s="56"/>
      <c r="K52" s="56"/>
      <c r="L52" s="56"/>
      <c r="M52" s="56"/>
      <c r="N52" s="56"/>
      <c r="O52" s="56"/>
    </row>
    <row r="53" spans="2:15" s="49" customFormat="1" ht="11.25" customHeight="1">
      <c r="B53" s="50"/>
      <c r="C53" s="51"/>
    </row>
    <row r="54" spans="2:15" s="49" customFormat="1">
      <c r="B54" s="49" t="s">
        <v>344</v>
      </c>
    </row>
    <row r="55" spans="2:15" s="49" customFormat="1" ht="8.5" customHeight="1"/>
    <row r="56" spans="2:15" ht="17" customHeight="1">
      <c r="B56" s="46"/>
      <c r="C56" s="49" t="s">
        <v>346</v>
      </c>
      <c r="D56" s="49"/>
      <c r="E56" s="49"/>
      <c r="F56" s="49"/>
      <c r="G56" s="49"/>
      <c r="H56" s="49"/>
      <c r="I56" s="49"/>
      <c r="J56" s="49"/>
      <c r="K56" s="49"/>
      <c r="L56" s="49"/>
      <c r="M56" s="49"/>
      <c r="N56" s="49"/>
      <c r="O56" s="49"/>
    </row>
    <row r="57" spans="2:15" s="49" customFormat="1" ht="5.75" customHeight="1"/>
    <row r="58" spans="2:15" ht="17" customHeight="1">
      <c r="B58" s="45"/>
      <c r="C58" s="49" t="s">
        <v>345</v>
      </c>
      <c r="D58" s="49"/>
      <c r="E58" s="49"/>
      <c r="F58" s="49"/>
      <c r="G58" s="49"/>
      <c r="H58" s="49"/>
      <c r="I58" s="49"/>
      <c r="J58" s="49"/>
      <c r="K58" s="49"/>
      <c r="L58" s="49"/>
      <c r="M58" s="49"/>
      <c r="N58" s="49"/>
      <c r="O58" s="49"/>
    </row>
    <row r="59" spans="2:15" s="49" customFormat="1" ht="5.75" customHeight="1"/>
    <row r="60" spans="2:15" s="49" customFormat="1" ht="5.75" customHeight="1"/>
    <row r="61" spans="2:15" s="49" customFormat="1"/>
    <row r="62" spans="2:15" s="49" customFormat="1">
      <c r="B62" s="49" t="s">
        <v>497</v>
      </c>
    </row>
    <row r="63" spans="2:15" s="49" customFormat="1">
      <c r="B63" s="49" t="s">
        <v>498</v>
      </c>
    </row>
    <row r="64" spans="2:15" s="49" customFormat="1"/>
    <row r="65" spans="2:5" s="49" customFormat="1">
      <c r="B65" s="49" t="s">
        <v>499</v>
      </c>
    </row>
    <row r="66" spans="2:5" s="49" customFormat="1">
      <c r="B66" s="49" t="s">
        <v>347</v>
      </c>
    </row>
    <row r="67" spans="2:5" s="49" customFormat="1"/>
    <row r="68" spans="2:5" s="49" customFormat="1">
      <c r="B68" s="49" t="s">
        <v>348</v>
      </c>
      <c r="E68" s="52" t="s">
        <v>349</v>
      </c>
    </row>
    <row r="69" spans="2:5" s="49" customFormat="1"/>
    <row r="70" spans="2:5" s="49" customFormat="1"/>
    <row r="71" spans="2:5" s="49" customFormat="1">
      <c r="B71" s="49" t="s">
        <v>350</v>
      </c>
      <c r="C71" s="49" t="s">
        <v>351</v>
      </c>
    </row>
    <row r="72" spans="2:5" s="49" customFormat="1">
      <c r="B72" s="49" t="s">
        <v>352</v>
      </c>
      <c r="C72" s="53">
        <v>43466</v>
      </c>
    </row>
    <row r="73" spans="2:5" s="49" customFormat="1"/>
    <row r="74" spans="2:5" s="49" customFormat="1"/>
    <row r="75" spans="2:5" s="49" customFormat="1"/>
    <row r="76" spans="2:5" s="49" customFormat="1"/>
    <row r="77" spans="2:5" s="49" customFormat="1"/>
    <row r="78" spans="2:5" s="49" customFormat="1"/>
    <row r="79" spans="2:5" s="49" customFormat="1"/>
    <row r="80" spans="2:5" s="49" customFormat="1"/>
    <row r="81" s="49" customFormat="1"/>
    <row r="82" s="49" customFormat="1"/>
    <row r="83" s="49" customFormat="1"/>
    <row r="84" s="49" customFormat="1"/>
    <row r="85" s="49" customFormat="1"/>
    <row r="86" s="49" customFormat="1"/>
    <row r="87" s="49" customFormat="1"/>
    <row r="88" s="49" customFormat="1"/>
    <row r="89" s="49" customFormat="1"/>
  </sheetData>
  <sheetProtection password="CC59" sheet="1" formatCells="0" formatColumns="0" formatRows="0" insertColumns="0" insertRows="0" insertHyperlinks="0" deleteColumns="0" deleteRows="0" sort="0" autoFilter="0" pivotTables="0"/>
  <phoneticPr fontId="1"/>
  <hyperlinks>
    <hyperlink ref="E68" r:id="rId1"/>
  </hyperlinks>
  <pageMargins left="0.7" right="0.7" top="0.75" bottom="0.75" header="0.3" footer="0.3"/>
  <pageSetup paperSize="9" orientation="portrait"/>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4"/>
  <sheetViews>
    <sheetView topLeftCell="A43" workbookViewId="0">
      <selection activeCell="F79" sqref="F79"/>
    </sheetView>
  </sheetViews>
  <sheetFormatPr baseColWidth="12" defaultColWidth="8.83203125" defaultRowHeight="17" x14ac:dyDescent="0"/>
  <sheetData>
    <row r="1" spans="1:11">
      <c r="A1" t="s">
        <v>14</v>
      </c>
    </row>
    <row r="2" spans="1:11">
      <c r="I2" t="s">
        <v>9</v>
      </c>
    </row>
    <row r="3" spans="1:11">
      <c r="B3" t="s">
        <v>1</v>
      </c>
      <c r="C3" s="1" t="s">
        <v>0</v>
      </c>
      <c r="D3">
        <v>3</v>
      </c>
      <c r="E3">
        <v>4</v>
      </c>
      <c r="F3">
        <v>5</v>
      </c>
      <c r="G3">
        <v>6</v>
      </c>
      <c r="H3">
        <v>7</v>
      </c>
      <c r="I3">
        <v>8</v>
      </c>
    </row>
    <row r="4" spans="1:11">
      <c r="B4" t="s">
        <v>2</v>
      </c>
      <c r="C4">
        <v>60.3</v>
      </c>
      <c r="D4">
        <v>31.7</v>
      </c>
      <c r="E4">
        <v>24.8</v>
      </c>
      <c r="F4">
        <v>20.5</v>
      </c>
      <c r="G4">
        <v>15.4</v>
      </c>
      <c r="H4">
        <v>7.9</v>
      </c>
      <c r="I4">
        <v>0</v>
      </c>
    </row>
    <row r="5" spans="1:11">
      <c r="B5" t="s">
        <v>3</v>
      </c>
      <c r="C5">
        <v>0.5</v>
      </c>
      <c r="D5">
        <v>0.8</v>
      </c>
      <c r="E5">
        <v>1.5</v>
      </c>
      <c r="F5">
        <v>1.6</v>
      </c>
      <c r="G5">
        <v>3.9</v>
      </c>
      <c r="H5">
        <v>4.7</v>
      </c>
      <c r="I5">
        <v>9.1999999999999993</v>
      </c>
    </row>
    <row r="6" spans="1:11">
      <c r="B6" t="s">
        <v>4</v>
      </c>
      <c r="C6">
        <v>21</v>
      </c>
      <c r="D6">
        <v>21</v>
      </c>
      <c r="E6">
        <v>21</v>
      </c>
      <c r="F6">
        <v>21</v>
      </c>
      <c r="G6">
        <v>21</v>
      </c>
      <c r="H6">
        <v>21</v>
      </c>
      <c r="I6">
        <v>21</v>
      </c>
    </row>
    <row r="7" spans="1:11">
      <c r="B7" t="s">
        <v>5</v>
      </c>
      <c r="C7">
        <v>7.15</v>
      </c>
      <c r="D7">
        <v>7.15</v>
      </c>
      <c r="E7">
        <v>7.15</v>
      </c>
      <c r="F7">
        <v>7.15</v>
      </c>
      <c r="G7">
        <v>7.15</v>
      </c>
      <c r="H7">
        <v>7.15</v>
      </c>
      <c r="I7">
        <v>7.15</v>
      </c>
    </row>
    <row r="8" spans="1:11">
      <c r="B8" t="s">
        <v>6</v>
      </c>
      <c r="C8">
        <v>1.2</v>
      </c>
      <c r="D8">
        <v>1.2</v>
      </c>
      <c r="E8">
        <v>1.2</v>
      </c>
      <c r="F8">
        <v>1.2</v>
      </c>
      <c r="G8">
        <v>1.2</v>
      </c>
      <c r="H8">
        <v>1.2</v>
      </c>
      <c r="I8">
        <v>1.2</v>
      </c>
    </row>
    <row r="9" spans="1:11">
      <c r="B9" t="s">
        <v>7</v>
      </c>
      <c r="C9">
        <v>23.6</v>
      </c>
      <c r="D9">
        <v>23.6</v>
      </c>
      <c r="E9">
        <v>23.6</v>
      </c>
      <c r="F9">
        <v>23.6</v>
      </c>
      <c r="G9">
        <v>23.6</v>
      </c>
      <c r="H9">
        <v>23.6</v>
      </c>
      <c r="I9">
        <v>23.6</v>
      </c>
    </row>
    <row r="10" spans="1:11">
      <c r="B10" t="s">
        <v>8</v>
      </c>
      <c r="C10">
        <v>3.9</v>
      </c>
      <c r="D10">
        <v>3.9</v>
      </c>
      <c r="E10">
        <v>3.9</v>
      </c>
      <c r="F10">
        <v>3.9</v>
      </c>
      <c r="G10">
        <v>3.9</v>
      </c>
      <c r="H10">
        <v>3.9</v>
      </c>
      <c r="I10">
        <v>3.9</v>
      </c>
    </row>
    <row r="11" spans="1:11">
      <c r="B11" t="s">
        <v>10</v>
      </c>
      <c r="C11">
        <f>SUM(C4:C10)</f>
        <v>117.65</v>
      </c>
      <c r="D11">
        <f t="shared" ref="D11:I11" si="0">SUM(D4:D10)</f>
        <v>89.350000000000009</v>
      </c>
      <c r="E11">
        <f t="shared" si="0"/>
        <v>83.15</v>
      </c>
      <c r="F11">
        <f t="shared" si="0"/>
        <v>78.950000000000017</v>
      </c>
      <c r="G11">
        <f t="shared" si="0"/>
        <v>76.150000000000006</v>
      </c>
      <c r="H11">
        <f t="shared" si="0"/>
        <v>69.450000000000017</v>
      </c>
      <c r="I11">
        <f t="shared" si="0"/>
        <v>66.050000000000011</v>
      </c>
    </row>
    <row r="13" spans="1:11">
      <c r="B13" t="s">
        <v>84</v>
      </c>
      <c r="C13" s="1" t="s">
        <v>135</v>
      </c>
      <c r="D13" s="13">
        <f>IF(基本情報!$D$7=1,地域別用途別基準値!K15,IF(基本情報!$D$7=2,地域別用途別基準値!K16,IF(基本情報!$D$7=3,地域別用途別基準値!K17,IF(基本情報!$D$7=4,地域別用途別基準値!K18,IF(基本情報!$D$7=5,地域別用途別基準値!K19,IF(基本情報!$D$7=6,地域別用途別基準値!K20))))))</f>
        <v>20</v>
      </c>
    </row>
    <row r="14" spans="1:11">
      <c r="C14">
        <v>1</v>
      </c>
      <c r="D14">
        <v>2</v>
      </c>
      <c r="E14">
        <v>3</v>
      </c>
      <c r="F14">
        <v>4</v>
      </c>
      <c r="G14">
        <v>5</v>
      </c>
      <c r="H14">
        <v>6</v>
      </c>
      <c r="I14">
        <v>7</v>
      </c>
      <c r="J14">
        <v>8</v>
      </c>
      <c r="K14" s="4" t="s">
        <v>134</v>
      </c>
    </row>
    <row r="15" spans="1:11">
      <c r="B15">
        <v>1</v>
      </c>
      <c r="C15">
        <v>30.2</v>
      </c>
      <c r="D15">
        <v>30.2</v>
      </c>
      <c r="E15">
        <v>15.9</v>
      </c>
      <c r="F15">
        <v>12.4</v>
      </c>
      <c r="G15">
        <v>10.3</v>
      </c>
      <c r="H15">
        <v>7.7</v>
      </c>
      <c r="I15">
        <v>4</v>
      </c>
      <c r="J15">
        <v>0</v>
      </c>
      <c r="K15" s="19">
        <f>IF(基本情報!$D$6=1,地域別用途別基準値!C15,IF(基本情報!$D$6=2,地域別用途別基準値!D15,IF(基本情報!$D$6=3,地域別用途別基準値!E15,IF(基本情報!$D$6=4,地域別用途別基準値!F15,IF(基本情報!$D$6=5,地域別用途別基準値!G15,IF(基本情報!$D$6=6,地域別用途別基準値!H15,IF(基本情報!$D$6=7,地域別用途別基準値!I15,IF(基本情報!$D$6=8,地域別用途別基準値!J15))))))))</f>
        <v>7.7</v>
      </c>
    </row>
    <row r="16" spans="1:11">
      <c r="B16">
        <v>2</v>
      </c>
      <c r="C16">
        <v>51.3</v>
      </c>
      <c r="D16">
        <v>51.3</v>
      </c>
      <c r="E16">
        <v>26.9</v>
      </c>
      <c r="F16">
        <v>21.1</v>
      </c>
      <c r="G16">
        <v>17.399999999999999</v>
      </c>
      <c r="H16">
        <v>13.1</v>
      </c>
      <c r="I16">
        <v>6.7</v>
      </c>
      <c r="J16">
        <v>0</v>
      </c>
      <c r="K16" s="19">
        <f>IF(基本情報!$D$6=1,地域別用途別基準値!C16,IF(基本情報!$D$6=2,地域別用途別基準値!D16,IF(基本情報!$D$6=3,地域別用途別基準値!E16,IF(基本情報!$D$6=4,地域別用途別基準値!F16,IF(基本情報!$D$6=5,地域別用途別基準値!G16,IF(基本情報!$D$6=6,地域別用途別基準値!H16,IF(基本情報!$D$6=7,地域別用途別基準値!I16,IF(基本情報!$D$6=8,地域別用途別基準値!J16))))))))</f>
        <v>13.1</v>
      </c>
    </row>
    <row r="17" spans="2:19">
      <c r="B17">
        <v>3</v>
      </c>
      <c r="C17">
        <v>57.3</v>
      </c>
      <c r="D17">
        <v>57.3</v>
      </c>
      <c r="E17">
        <v>30.1</v>
      </c>
      <c r="F17">
        <v>23.6</v>
      </c>
      <c r="G17">
        <v>19.5</v>
      </c>
      <c r="H17">
        <v>14.6</v>
      </c>
      <c r="I17">
        <v>7.5</v>
      </c>
      <c r="J17">
        <v>0</v>
      </c>
      <c r="K17" s="19">
        <f>IF(基本情報!$D$6=1,地域別用途別基準値!C17,IF(基本情報!$D$6=2,地域別用途別基準値!D17,IF(基本情報!$D$6=3,地域別用途別基準値!E17,IF(基本情報!$D$6=4,地域別用途別基準値!F17,IF(基本情報!$D$6=5,地域別用途別基準値!G17,IF(基本情報!$D$6=6,地域別用途別基準値!H17,IF(基本情報!$D$6=7,地域別用途別基準値!I17,IF(基本情報!$D$6=8,地域別用途別基準値!J17))))))))</f>
        <v>14.6</v>
      </c>
    </row>
    <row r="18" spans="2:19">
      <c r="B18">
        <v>4</v>
      </c>
      <c r="C18">
        <v>60.3</v>
      </c>
      <c r="D18">
        <v>60.3</v>
      </c>
      <c r="E18">
        <v>31.7</v>
      </c>
      <c r="F18">
        <v>24.8</v>
      </c>
      <c r="G18">
        <v>20.5</v>
      </c>
      <c r="H18">
        <v>15.4</v>
      </c>
      <c r="I18">
        <v>7.9</v>
      </c>
      <c r="J18">
        <v>0</v>
      </c>
      <c r="K18" s="19">
        <f>IF(基本情報!$D$6=1,地域別用途別基準値!C18,IF(基本情報!$D$6=2,地域別用途別基準値!D18,IF(基本情報!$D$6=3,地域別用途別基準値!E18,IF(基本情報!$D$6=4,地域別用途別基準値!F18,IF(基本情報!$D$6=5,地域別用途別基準値!G18,IF(基本情報!$D$6=6,地域別用途別基準値!H18,IF(基本情報!$D$6=7,地域別用途別基準値!I18,IF(基本情報!$D$6=8,地域別用途別基準値!J18))))))))</f>
        <v>15.4</v>
      </c>
    </row>
    <row r="19" spans="2:19">
      <c r="B19">
        <v>5</v>
      </c>
      <c r="C19">
        <v>78.400000000000006</v>
      </c>
      <c r="D19">
        <v>78.400000000000006</v>
      </c>
      <c r="E19">
        <v>41.2</v>
      </c>
      <c r="F19">
        <v>32.200000000000003</v>
      </c>
      <c r="G19">
        <v>26.7</v>
      </c>
      <c r="H19">
        <v>20</v>
      </c>
      <c r="I19">
        <v>10.3</v>
      </c>
      <c r="J19">
        <v>0</v>
      </c>
      <c r="K19" s="19">
        <f>IF(基本情報!$D$6=1,地域別用途別基準値!C19,IF(基本情報!$D$6=2,地域別用途別基準値!D19,IF(基本情報!$D$6=3,地域別用途別基準値!E19,IF(基本情報!$D$6=4,地域別用途別基準値!F19,IF(基本情報!$D$6=5,地域別用途別基準値!G19,IF(基本情報!$D$6=6,地域別用途別基準値!H19,IF(基本情報!$D$6=7,地域別用途別基準値!I19,IF(基本情報!$D$6=8,地域別用途別基準値!J19))))))))</f>
        <v>20</v>
      </c>
    </row>
    <row r="20" spans="2:19">
      <c r="B20">
        <v>6</v>
      </c>
      <c r="C20">
        <v>102.5</v>
      </c>
      <c r="D20">
        <v>102.5</v>
      </c>
      <c r="E20">
        <v>53.9</v>
      </c>
      <c r="F20">
        <v>42.2</v>
      </c>
      <c r="G20">
        <v>34.9</v>
      </c>
      <c r="H20">
        <v>26.2</v>
      </c>
      <c r="I20">
        <v>13.4</v>
      </c>
      <c r="J20">
        <v>0</v>
      </c>
      <c r="K20" s="19">
        <f>IF(基本情報!$D$6=1,地域別用途別基準値!C20,IF(基本情報!$D$6=2,地域別用途別基準値!D20,IF(基本情報!$D$6=3,地域別用途別基準値!E20,IF(基本情報!$D$6=4,地域別用途別基準値!F20,IF(基本情報!$D$6=5,地域別用途別基準値!G20,IF(基本情報!$D$6=6,地域別用途別基準値!H20,IF(基本情報!$D$6=7,地域別用途別基準値!I20,IF(基本情報!$D$6=8,地域別用途別基準値!J20))))))))</f>
        <v>26.2</v>
      </c>
    </row>
    <row r="22" spans="2:19">
      <c r="B22" t="s">
        <v>3</v>
      </c>
      <c r="C22" s="1" t="s">
        <v>135</v>
      </c>
      <c r="D22" s="13">
        <f>IF(基本情報!$D$7=1,地域別用途別基準値!K24,IF(基本情報!$D$7=2,地域別用途別基準値!K25,IF(基本情報!$D$7=3,地域別用途別基準値!K26,IF(基本情報!$D$7=4,地域別用途別基準値!K27,IF(基本情報!$D$7=5,地域別用途別基準値!K28,IF(基本情報!$D$7=6,地域別用途別基準値!K29))))))</f>
        <v>3.9</v>
      </c>
    </row>
    <row r="23" spans="2:19">
      <c r="C23">
        <v>1</v>
      </c>
      <c r="D23">
        <v>2</v>
      </c>
      <c r="E23">
        <v>3</v>
      </c>
      <c r="F23">
        <v>4</v>
      </c>
      <c r="G23">
        <v>5</v>
      </c>
      <c r="H23">
        <v>6</v>
      </c>
      <c r="I23">
        <v>7</v>
      </c>
      <c r="J23">
        <v>8</v>
      </c>
      <c r="K23" s="4" t="s">
        <v>134</v>
      </c>
    </row>
    <row r="24" spans="2:19">
      <c r="B24">
        <v>1</v>
      </c>
      <c r="C24" s="9">
        <f>ROUND(L24,1)</f>
        <v>0.3</v>
      </c>
      <c r="D24" s="9">
        <f t="shared" ref="D24:D29" si="1">ROUND(M24,1)</f>
        <v>0.3</v>
      </c>
      <c r="E24" s="9">
        <f t="shared" ref="E24:E29" si="2">ROUND(N24,1)</f>
        <v>0.5</v>
      </c>
      <c r="F24" s="9">
        <f t="shared" ref="F24:F29" si="3">ROUND(O24,1)</f>
        <v>0.9</v>
      </c>
      <c r="G24" s="9">
        <f t="shared" ref="G24:G29" si="4">ROUND(P24,1)</f>
        <v>1</v>
      </c>
      <c r="H24" s="9">
        <f t="shared" ref="H24:H29" si="5">ROUND(Q24,1)</f>
        <v>2.2999999999999998</v>
      </c>
      <c r="I24" s="9">
        <f t="shared" ref="I24:I29" si="6">ROUND(R24,1)</f>
        <v>2.8</v>
      </c>
      <c r="J24" s="9">
        <f t="shared" ref="J24:J29" si="7">ROUND(S24,1)</f>
        <v>5.5</v>
      </c>
      <c r="K24" s="19">
        <f>IF(基本情報!$D$6=1,地域別用途別基準値!C24,IF(基本情報!$D$6=2,地域別用途別基準値!D24,IF(基本情報!$D$6=3,地域別用途別基準値!E24,IF(基本情報!$D$6=4,地域別用途別基準値!F24,IF(基本情報!$D$6=5,地域別用途別基準値!G24,IF(基本情報!$D$6=6,地域別用途別基準値!H24,IF(基本情報!$D$6=7,地域別用途別基準値!I24,IF(基本情報!$D$6=8,地域別用途別基準値!J24))))))))</f>
        <v>2.2999999999999998</v>
      </c>
      <c r="L24" s="9">
        <v>0.3</v>
      </c>
      <c r="M24" s="9">
        <v>0.3</v>
      </c>
      <c r="N24" s="9">
        <v>0.48</v>
      </c>
      <c r="O24" s="9">
        <v>0.89999999999999991</v>
      </c>
      <c r="P24" s="9">
        <v>0.96</v>
      </c>
      <c r="Q24" s="9">
        <v>2.34</v>
      </c>
      <c r="R24" s="9">
        <v>2.82</v>
      </c>
      <c r="S24" s="9">
        <v>5.52</v>
      </c>
    </row>
    <row r="25" spans="2:19">
      <c r="B25">
        <v>2</v>
      </c>
      <c r="C25" s="9">
        <f t="shared" ref="C25:C29" si="8">ROUND(L25,1)</f>
        <v>0.4</v>
      </c>
      <c r="D25" s="9">
        <f t="shared" si="1"/>
        <v>0.4</v>
      </c>
      <c r="E25" s="9">
        <f t="shared" si="2"/>
        <v>0.6</v>
      </c>
      <c r="F25" s="9">
        <f t="shared" si="3"/>
        <v>1.1000000000000001</v>
      </c>
      <c r="G25" s="9">
        <f t="shared" si="4"/>
        <v>1.2</v>
      </c>
      <c r="H25" s="9">
        <f t="shared" si="5"/>
        <v>2.9</v>
      </c>
      <c r="I25" s="9">
        <f t="shared" si="6"/>
        <v>3.5</v>
      </c>
      <c r="J25" s="9">
        <f t="shared" si="7"/>
        <v>6.9</v>
      </c>
      <c r="K25" s="19">
        <f>IF(基本情報!$D$6=1,地域別用途別基準値!C25,IF(基本情報!$D$6=2,地域別用途別基準値!D25,IF(基本情報!$D$6=3,地域別用途別基準値!E25,IF(基本情報!$D$6=4,地域別用途別基準値!F25,IF(基本情報!$D$6=5,地域別用途別基準値!G25,IF(基本情報!$D$6=6,地域別用途別基準値!H25,IF(基本情報!$D$6=7,地域別用途別基準値!I25,IF(基本情報!$D$6=8,地域別用途別基準値!J25))))))))</f>
        <v>2.9</v>
      </c>
      <c r="L25" s="9">
        <v>0.375</v>
      </c>
      <c r="M25" s="9">
        <v>0.375</v>
      </c>
      <c r="N25" s="9">
        <v>0.60000000000000009</v>
      </c>
      <c r="O25" s="9">
        <v>1.125</v>
      </c>
      <c r="P25" s="9">
        <v>1.2000000000000002</v>
      </c>
      <c r="Q25" s="9">
        <v>2.9249999999999998</v>
      </c>
      <c r="R25" s="9">
        <v>3.5250000000000004</v>
      </c>
      <c r="S25" s="9">
        <v>6.8999999999999995</v>
      </c>
    </row>
    <row r="26" spans="2:19">
      <c r="B26">
        <v>3</v>
      </c>
      <c r="C26" s="9">
        <f t="shared" si="8"/>
        <v>0.5</v>
      </c>
      <c r="D26" s="9">
        <f t="shared" si="1"/>
        <v>0.5</v>
      </c>
      <c r="E26" s="9">
        <f t="shared" si="2"/>
        <v>0.8</v>
      </c>
      <c r="F26" s="9">
        <f t="shared" si="3"/>
        <v>1.5</v>
      </c>
      <c r="G26" s="9">
        <f t="shared" si="4"/>
        <v>1.6</v>
      </c>
      <c r="H26" s="9">
        <f t="shared" si="5"/>
        <v>3.9</v>
      </c>
      <c r="I26" s="9">
        <f t="shared" si="6"/>
        <v>4.7</v>
      </c>
      <c r="J26" s="9">
        <f t="shared" si="7"/>
        <v>9.1999999999999993</v>
      </c>
      <c r="K26" s="19">
        <f>IF(基本情報!$D$6=1,地域別用途別基準値!C26,IF(基本情報!$D$6=2,地域別用途別基準値!D26,IF(基本情報!$D$6=3,地域別用途別基準値!E26,IF(基本情報!$D$6=4,地域別用途別基準値!F26,IF(基本情報!$D$6=5,地域別用途別基準値!G26,IF(基本情報!$D$6=6,地域別用途別基準値!H26,IF(基本情報!$D$6=7,地域別用途別基準値!I26,IF(基本情報!$D$6=8,地域別用途別基準値!J26))))))))</f>
        <v>3.9</v>
      </c>
      <c r="L26" s="9">
        <v>0.5</v>
      </c>
      <c r="M26" s="9">
        <v>0.5</v>
      </c>
      <c r="N26" s="9">
        <v>0.8</v>
      </c>
      <c r="O26" s="9">
        <v>1.5</v>
      </c>
      <c r="P26" s="9">
        <v>1.6</v>
      </c>
      <c r="Q26" s="9">
        <v>3.9</v>
      </c>
      <c r="R26" s="9">
        <v>4.7</v>
      </c>
      <c r="S26" s="9">
        <v>9.1999999999999993</v>
      </c>
    </row>
    <row r="27" spans="2:19">
      <c r="B27">
        <v>4</v>
      </c>
      <c r="C27" s="9">
        <f t="shared" si="8"/>
        <v>0.5</v>
      </c>
      <c r="D27" s="9">
        <f t="shared" si="1"/>
        <v>0.5</v>
      </c>
      <c r="E27" s="9">
        <f t="shared" si="2"/>
        <v>0.8</v>
      </c>
      <c r="F27" s="9">
        <f t="shared" si="3"/>
        <v>1.5</v>
      </c>
      <c r="G27" s="9">
        <f t="shared" si="4"/>
        <v>1.6</v>
      </c>
      <c r="H27" s="9">
        <f t="shared" si="5"/>
        <v>3.9</v>
      </c>
      <c r="I27" s="9">
        <f t="shared" si="6"/>
        <v>4.7</v>
      </c>
      <c r="J27" s="9">
        <f t="shared" si="7"/>
        <v>9.1999999999999993</v>
      </c>
      <c r="K27" s="19">
        <f>IF(基本情報!$D$6=1,地域別用途別基準値!C27,IF(基本情報!$D$6=2,地域別用途別基準値!D27,IF(基本情報!$D$6=3,地域別用途別基準値!E27,IF(基本情報!$D$6=4,地域別用途別基準値!F27,IF(基本情報!$D$6=5,地域別用途別基準値!G27,IF(基本情報!$D$6=6,地域別用途別基準値!H27,IF(基本情報!$D$6=7,地域別用途別基準値!I27,IF(基本情報!$D$6=8,地域別用途別基準値!J27))))))))</f>
        <v>3.9</v>
      </c>
      <c r="L27" s="9">
        <v>0.5</v>
      </c>
      <c r="M27" s="9">
        <v>0.5</v>
      </c>
      <c r="N27" s="9">
        <v>0.8</v>
      </c>
      <c r="O27" s="9">
        <v>1.5</v>
      </c>
      <c r="P27" s="9">
        <v>1.6</v>
      </c>
      <c r="Q27" s="9">
        <v>3.9</v>
      </c>
      <c r="R27" s="9">
        <v>4.7</v>
      </c>
      <c r="S27" s="9">
        <v>9.1999999999999993</v>
      </c>
    </row>
    <row r="28" spans="2:19">
      <c r="B28">
        <v>5</v>
      </c>
      <c r="C28" s="9">
        <f t="shared" si="8"/>
        <v>0.5</v>
      </c>
      <c r="D28" s="9">
        <f t="shared" si="1"/>
        <v>0.5</v>
      </c>
      <c r="E28" s="9">
        <f t="shared" si="2"/>
        <v>0.8</v>
      </c>
      <c r="F28" s="9">
        <f t="shared" si="3"/>
        <v>1.5</v>
      </c>
      <c r="G28" s="9">
        <f t="shared" si="4"/>
        <v>1.6</v>
      </c>
      <c r="H28" s="9">
        <f t="shared" si="5"/>
        <v>3.9</v>
      </c>
      <c r="I28" s="9">
        <f t="shared" si="6"/>
        <v>4.7</v>
      </c>
      <c r="J28" s="9">
        <f t="shared" si="7"/>
        <v>9.1999999999999993</v>
      </c>
      <c r="K28" s="19">
        <f>IF(基本情報!$D$6=1,地域別用途別基準値!C28,IF(基本情報!$D$6=2,地域別用途別基準値!D28,IF(基本情報!$D$6=3,地域別用途別基準値!E28,IF(基本情報!$D$6=4,地域別用途別基準値!F28,IF(基本情報!$D$6=5,地域別用途別基準値!G28,IF(基本情報!$D$6=6,地域別用途別基準値!H28,IF(基本情報!$D$6=7,地域別用途別基準値!I28,IF(基本情報!$D$6=8,地域別用途別基準値!J28))))))))</f>
        <v>3.9</v>
      </c>
      <c r="L28" s="9">
        <v>0.5</v>
      </c>
      <c r="M28" s="9">
        <v>0.5</v>
      </c>
      <c r="N28" s="9">
        <v>0.8</v>
      </c>
      <c r="O28" s="9">
        <v>1.5</v>
      </c>
      <c r="P28" s="9">
        <v>1.6</v>
      </c>
      <c r="Q28" s="9">
        <v>3.9</v>
      </c>
      <c r="R28" s="9">
        <v>4.7</v>
      </c>
      <c r="S28" s="9">
        <v>9.1999999999999993</v>
      </c>
    </row>
    <row r="29" spans="2:19">
      <c r="B29">
        <v>6</v>
      </c>
      <c r="C29" s="9">
        <f t="shared" si="8"/>
        <v>0.8</v>
      </c>
      <c r="D29" s="9">
        <f t="shared" si="1"/>
        <v>0.8</v>
      </c>
      <c r="E29" s="9">
        <f t="shared" si="2"/>
        <v>1.2</v>
      </c>
      <c r="F29" s="9">
        <f t="shared" si="3"/>
        <v>2.2999999999999998</v>
      </c>
      <c r="G29" s="9">
        <f t="shared" si="4"/>
        <v>2.4</v>
      </c>
      <c r="H29" s="9">
        <f t="shared" si="5"/>
        <v>5.9</v>
      </c>
      <c r="I29" s="9">
        <f t="shared" si="6"/>
        <v>7.1</v>
      </c>
      <c r="J29" s="9">
        <f t="shared" si="7"/>
        <v>13.8</v>
      </c>
      <c r="K29" s="19">
        <f>IF(基本情報!$D$6=1,地域別用途別基準値!C29,IF(基本情報!$D$6=2,地域別用途別基準値!D29,IF(基本情報!$D$6=3,地域別用途別基準値!E29,IF(基本情報!$D$6=4,地域別用途別基準値!F29,IF(基本情報!$D$6=5,地域別用途別基準値!G29,IF(基本情報!$D$6=6,地域別用途別基準値!H29,IF(基本情報!$D$6=7,地域別用途別基準値!I29,IF(基本情報!$D$6=8,地域別用途別基準値!J29))))))))</f>
        <v>5.9</v>
      </c>
      <c r="L29" s="9">
        <v>0.75</v>
      </c>
      <c r="M29" s="9">
        <v>0.75</v>
      </c>
      <c r="N29" s="9">
        <v>1.2000000000000002</v>
      </c>
      <c r="O29" s="9">
        <v>2.25</v>
      </c>
      <c r="P29" s="9">
        <v>2.4000000000000004</v>
      </c>
      <c r="Q29" s="9">
        <v>5.85</v>
      </c>
      <c r="R29" s="9">
        <v>7.0500000000000007</v>
      </c>
      <c r="S29" s="9">
        <v>13.799999999999999</v>
      </c>
    </row>
    <row r="31" spans="2:19">
      <c r="B31" t="s">
        <v>4</v>
      </c>
      <c r="C31" s="1" t="s">
        <v>135</v>
      </c>
      <c r="D31" s="13">
        <f>IF(基本情報!$D$7=1,地域別用途別基準値!K33,IF(基本情報!$D$7=2,地域別用途別基準値!K34,IF(基本情報!$D$7=3,地域別用途別基準値!K35,IF(基本情報!$D$7=4,地域別用途別基準値!K36,IF(基本情報!$D$7=5,地域別用途別基準値!K37,IF(基本情報!$D$7=6,地域別用途別基準値!K38))))))</f>
        <v>23.1</v>
      </c>
    </row>
    <row r="32" spans="2:19">
      <c r="C32">
        <v>1</v>
      </c>
      <c r="D32">
        <v>2</v>
      </c>
      <c r="E32">
        <v>3</v>
      </c>
      <c r="F32">
        <v>4</v>
      </c>
      <c r="G32">
        <v>5</v>
      </c>
      <c r="H32">
        <v>6</v>
      </c>
      <c r="I32">
        <v>7</v>
      </c>
      <c r="J32">
        <v>8</v>
      </c>
      <c r="K32" s="4" t="s">
        <v>134</v>
      </c>
    </row>
    <row r="33" spans="2:19">
      <c r="B33">
        <v>1</v>
      </c>
      <c r="C33" s="9">
        <f t="shared" ref="C33:C38" si="9">ROUND(L33,1)</f>
        <v>6.3</v>
      </c>
      <c r="D33" s="9">
        <f t="shared" ref="D33:D38" si="10">ROUND(M33,1)</f>
        <v>6.3</v>
      </c>
      <c r="E33" s="9">
        <f t="shared" ref="E33:E38" si="11">ROUND(N33,1)</f>
        <v>6.3</v>
      </c>
      <c r="F33" s="9">
        <f t="shared" ref="F33:F38" si="12">ROUND(O33,1)</f>
        <v>6.3</v>
      </c>
      <c r="G33" s="9">
        <f t="shared" ref="G33:G38" si="13">ROUND(P33,1)</f>
        <v>6.3</v>
      </c>
      <c r="H33" s="9">
        <f t="shared" ref="H33:H38" si="14">ROUND(Q33,1)</f>
        <v>6.3</v>
      </c>
      <c r="I33" s="9">
        <f t="shared" ref="I33:I38" si="15">ROUND(R33,1)</f>
        <v>6.3</v>
      </c>
      <c r="J33" s="9">
        <f t="shared" ref="J33:J38" si="16">ROUND(S33,1)</f>
        <v>6.3</v>
      </c>
      <c r="K33" s="19">
        <f>IF(基本情報!$D$6=1,地域別用途別基準値!C33,IF(基本情報!$D$6=2,地域別用途別基準値!D33,IF(基本情報!$D$6=3,地域別用途別基準値!E33,IF(基本情報!$D$6=4,地域別用途別基準値!F33,IF(基本情報!$D$6=5,地域別用途別基準値!G33,IF(基本情報!$D$6=6,地域別用途別基準値!H33,IF(基本情報!$D$6=7,地域別用途別基準値!I33,IF(基本情報!$D$6=8,地域別用途別基準値!J33))))))))</f>
        <v>6.3</v>
      </c>
      <c r="L33" s="9">
        <v>6.3</v>
      </c>
      <c r="M33" s="9">
        <v>6.3</v>
      </c>
      <c r="N33" s="9">
        <v>6.3</v>
      </c>
      <c r="O33" s="9">
        <v>6.3</v>
      </c>
      <c r="P33" s="9">
        <v>6.3</v>
      </c>
      <c r="Q33" s="9">
        <v>6.3</v>
      </c>
      <c r="R33" s="9">
        <v>6.3</v>
      </c>
      <c r="S33" s="9">
        <v>6.3</v>
      </c>
    </row>
    <row r="34" spans="2:19">
      <c r="B34">
        <v>2</v>
      </c>
      <c r="C34" s="9">
        <f t="shared" si="9"/>
        <v>13.7</v>
      </c>
      <c r="D34" s="9">
        <f t="shared" si="10"/>
        <v>13.7</v>
      </c>
      <c r="E34" s="9">
        <f t="shared" si="11"/>
        <v>13.7</v>
      </c>
      <c r="F34" s="9">
        <f t="shared" si="12"/>
        <v>13.7</v>
      </c>
      <c r="G34" s="9">
        <f t="shared" si="13"/>
        <v>13.7</v>
      </c>
      <c r="H34" s="9">
        <f t="shared" si="14"/>
        <v>13.7</v>
      </c>
      <c r="I34" s="9">
        <f t="shared" si="15"/>
        <v>13.7</v>
      </c>
      <c r="J34" s="9">
        <f t="shared" si="16"/>
        <v>13.7</v>
      </c>
      <c r="K34" s="19">
        <f>IF(基本情報!$D$6=1,地域別用途別基準値!C34,IF(基本情報!$D$6=2,地域別用途別基準値!D34,IF(基本情報!$D$6=3,地域別用途別基準値!E34,IF(基本情報!$D$6=4,地域別用途別基準値!F34,IF(基本情報!$D$6=5,地域別用途別基準値!G34,IF(基本情報!$D$6=6,地域別用途別基準値!H34,IF(基本情報!$D$6=7,地域別用途別基準値!I34,IF(基本情報!$D$6=8,地域別用途別基準値!J34))))))))</f>
        <v>13.7</v>
      </c>
      <c r="L34" s="9">
        <v>13.65</v>
      </c>
      <c r="M34" s="9">
        <v>13.65</v>
      </c>
      <c r="N34" s="9">
        <v>13.65</v>
      </c>
      <c r="O34" s="9">
        <v>13.65</v>
      </c>
      <c r="P34" s="9">
        <v>13.65</v>
      </c>
      <c r="Q34" s="9">
        <v>13.65</v>
      </c>
      <c r="R34" s="9">
        <v>13.65</v>
      </c>
      <c r="S34" s="9">
        <v>13.65</v>
      </c>
    </row>
    <row r="35" spans="2:19">
      <c r="B35">
        <v>3</v>
      </c>
      <c r="C35" s="9">
        <f t="shared" si="9"/>
        <v>20</v>
      </c>
      <c r="D35" s="9">
        <f t="shared" si="10"/>
        <v>20</v>
      </c>
      <c r="E35" s="9">
        <f t="shared" si="11"/>
        <v>20</v>
      </c>
      <c r="F35" s="9">
        <f t="shared" si="12"/>
        <v>20</v>
      </c>
      <c r="G35" s="9">
        <f t="shared" si="13"/>
        <v>20</v>
      </c>
      <c r="H35" s="9">
        <f t="shared" si="14"/>
        <v>20</v>
      </c>
      <c r="I35" s="9">
        <f t="shared" si="15"/>
        <v>20</v>
      </c>
      <c r="J35" s="9">
        <f t="shared" si="16"/>
        <v>20</v>
      </c>
      <c r="K35" s="19">
        <f>IF(基本情報!$D$6=1,地域別用途別基準値!C35,IF(基本情報!$D$6=2,地域別用途別基準値!D35,IF(基本情報!$D$6=3,地域別用途別基準値!E35,IF(基本情報!$D$6=4,地域別用途別基準値!F35,IF(基本情報!$D$6=5,地域別用途別基準値!G35,IF(基本情報!$D$6=6,地域別用途別基準値!H35,IF(基本情報!$D$6=7,地域別用途別基準値!I35,IF(基本情報!$D$6=8,地域別用途別基準値!J35))))))))</f>
        <v>20</v>
      </c>
      <c r="L35" s="9">
        <v>19.95</v>
      </c>
      <c r="M35" s="9">
        <v>19.95</v>
      </c>
      <c r="N35" s="9">
        <v>19.95</v>
      </c>
      <c r="O35" s="9">
        <v>19.95</v>
      </c>
      <c r="P35" s="9">
        <v>19.95</v>
      </c>
      <c r="Q35" s="9">
        <v>19.95</v>
      </c>
      <c r="R35" s="9">
        <v>19.95</v>
      </c>
      <c r="S35" s="9">
        <v>19.95</v>
      </c>
    </row>
    <row r="36" spans="2:19">
      <c r="B36">
        <v>4</v>
      </c>
      <c r="C36" s="9">
        <f t="shared" si="9"/>
        <v>21</v>
      </c>
      <c r="D36" s="9">
        <f t="shared" si="10"/>
        <v>21</v>
      </c>
      <c r="E36" s="9">
        <f t="shared" si="11"/>
        <v>21</v>
      </c>
      <c r="F36" s="9">
        <f t="shared" si="12"/>
        <v>21</v>
      </c>
      <c r="G36" s="9">
        <f t="shared" si="13"/>
        <v>21</v>
      </c>
      <c r="H36" s="9">
        <f t="shared" si="14"/>
        <v>21</v>
      </c>
      <c r="I36" s="9">
        <f t="shared" si="15"/>
        <v>21</v>
      </c>
      <c r="J36" s="9">
        <f t="shared" si="16"/>
        <v>21</v>
      </c>
      <c r="K36" s="19">
        <f>IF(基本情報!$D$6=1,地域別用途別基準値!C36,IF(基本情報!$D$6=2,地域別用途別基準値!D36,IF(基本情報!$D$6=3,地域別用途別基準値!E36,IF(基本情報!$D$6=4,地域別用途別基準値!F36,IF(基本情報!$D$6=5,地域別用途別基準値!G36,IF(基本情報!$D$6=6,地域別用途別基準値!H36,IF(基本情報!$D$6=7,地域別用途別基準値!I36,IF(基本情報!$D$6=8,地域別用途別基準値!J36))))))))</f>
        <v>21</v>
      </c>
      <c r="L36" s="9">
        <v>21</v>
      </c>
      <c r="M36" s="9">
        <v>21</v>
      </c>
      <c r="N36" s="9">
        <v>21</v>
      </c>
      <c r="O36" s="9">
        <v>21</v>
      </c>
      <c r="P36" s="9">
        <v>21</v>
      </c>
      <c r="Q36" s="9">
        <v>21</v>
      </c>
      <c r="R36" s="9">
        <v>21</v>
      </c>
      <c r="S36" s="9">
        <v>21</v>
      </c>
    </row>
    <row r="37" spans="2:19">
      <c r="B37">
        <v>5</v>
      </c>
      <c r="C37" s="9">
        <f t="shared" si="9"/>
        <v>23.1</v>
      </c>
      <c r="D37" s="9">
        <f t="shared" si="10"/>
        <v>23.1</v>
      </c>
      <c r="E37" s="9">
        <f t="shared" si="11"/>
        <v>23.1</v>
      </c>
      <c r="F37" s="9">
        <f t="shared" si="12"/>
        <v>23.1</v>
      </c>
      <c r="G37" s="9">
        <f t="shared" si="13"/>
        <v>23.1</v>
      </c>
      <c r="H37" s="9">
        <f t="shared" si="14"/>
        <v>23.1</v>
      </c>
      <c r="I37" s="9">
        <f t="shared" si="15"/>
        <v>23.1</v>
      </c>
      <c r="J37" s="9">
        <f t="shared" si="16"/>
        <v>23.1</v>
      </c>
      <c r="K37" s="19">
        <f>IF(基本情報!$D$6=1,地域別用途別基準値!C37,IF(基本情報!$D$6=2,地域別用途別基準値!D37,IF(基本情報!$D$6=3,地域別用途別基準値!E37,IF(基本情報!$D$6=4,地域別用途別基準値!F37,IF(基本情報!$D$6=5,地域別用途別基準値!G37,IF(基本情報!$D$6=6,地域別用途別基準値!H37,IF(基本情報!$D$6=7,地域別用途別基準値!I37,IF(基本情報!$D$6=8,地域別用途別基準値!J37))))))))</f>
        <v>23.1</v>
      </c>
      <c r="L37" s="9">
        <v>23.1</v>
      </c>
      <c r="M37" s="9">
        <v>23.1</v>
      </c>
      <c r="N37" s="9">
        <v>23.1</v>
      </c>
      <c r="O37" s="9">
        <v>23.1</v>
      </c>
      <c r="P37" s="9">
        <v>23.1</v>
      </c>
      <c r="Q37" s="9">
        <v>23.1</v>
      </c>
      <c r="R37" s="9">
        <v>23.1</v>
      </c>
      <c r="S37" s="9">
        <v>23.1</v>
      </c>
    </row>
    <row r="38" spans="2:19">
      <c r="B38">
        <v>6</v>
      </c>
      <c r="C38" s="9">
        <f t="shared" si="9"/>
        <v>29.4</v>
      </c>
      <c r="D38" s="9">
        <f t="shared" si="10"/>
        <v>29.4</v>
      </c>
      <c r="E38" s="9">
        <f t="shared" si="11"/>
        <v>29.4</v>
      </c>
      <c r="F38" s="9">
        <f t="shared" si="12"/>
        <v>29.4</v>
      </c>
      <c r="G38" s="9">
        <f t="shared" si="13"/>
        <v>29.4</v>
      </c>
      <c r="H38" s="9">
        <f t="shared" si="14"/>
        <v>29.4</v>
      </c>
      <c r="I38" s="9">
        <f t="shared" si="15"/>
        <v>29.4</v>
      </c>
      <c r="J38" s="9">
        <f t="shared" si="16"/>
        <v>29.4</v>
      </c>
      <c r="K38" s="19">
        <f>IF(基本情報!$D$6=1,地域別用途別基準値!C38,IF(基本情報!$D$6=2,地域別用途別基準値!D38,IF(基本情報!$D$6=3,地域別用途別基準値!E38,IF(基本情報!$D$6=4,地域別用途別基準値!F38,IF(基本情報!$D$6=5,地域別用途別基準値!G38,IF(基本情報!$D$6=6,地域別用途別基準値!H38,IF(基本情報!$D$6=7,地域別用途別基準値!I38,IF(基本情報!$D$6=8,地域別用途別基準値!J38))))))))</f>
        <v>29.4</v>
      </c>
      <c r="L38" s="9">
        <v>29.4</v>
      </c>
      <c r="M38" s="9">
        <v>29.4</v>
      </c>
      <c r="N38" s="9">
        <v>29.4</v>
      </c>
      <c r="O38" s="9">
        <v>29.4</v>
      </c>
      <c r="P38" s="9">
        <v>29.4</v>
      </c>
      <c r="Q38" s="9">
        <v>29.4</v>
      </c>
      <c r="R38" s="9">
        <v>29.4</v>
      </c>
      <c r="S38" s="9">
        <v>29.4</v>
      </c>
    </row>
    <row r="40" spans="2:19">
      <c r="B40" t="s">
        <v>5</v>
      </c>
      <c r="C40" s="1" t="s">
        <v>135</v>
      </c>
      <c r="D40" s="13">
        <f>IF(基本情報!$D$7=1,地域別用途別基準値!K42,IF(基本情報!$D$7=2,地域別用途別基準値!K43,IF(基本情報!$D$7=3,地域別用途別基準値!K44,IF(基本情報!$D$7=4,地域別用途別基準値!K45,IF(基本情報!$D$7=5,地域別用途別基準値!K46,IF(基本情報!$D$7=6,地域別用途別基準値!K47))))))</f>
        <v>8.1999999999999993</v>
      </c>
    </row>
    <row r="41" spans="2:19">
      <c r="C41">
        <v>1</v>
      </c>
      <c r="D41">
        <v>2</v>
      </c>
      <c r="E41">
        <v>3</v>
      </c>
      <c r="F41">
        <v>4</v>
      </c>
      <c r="G41">
        <v>5</v>
      </c>
      <c r="H41">
        <v>6</v>
      </c>
      <c r="I41">
        <v>7</v>
      </c>
      <c r="J41">
        <v>8</v>
      </c>
      <c r="K41" s="4" t="s">
        <v>134</v>
      </c>
    </row>
    <row r="42" spans="2:19">
      <c r="B42">
        <v>1</v>
      </c>
      <c r="C42">
        <f>ROUND(L42,2)</f>
        <v>4.6500000000000004</v>
      </c>
      <c r="D42">
        <f t="shared" ref="D42:J42" si="17">ROUND(M42,2)</f>
        <v>4.6500000000000004</v>
      </c>
      <c r="E42">
        <f t="shared" si="17"/>
        <v>4.6500000000000004</v>
      </c>
      <c r="F42">
        <f t="shared" si="17"/>
        <v>4.6500000000000004</v>
      </c>
      <c r="G42">
        <f t="shared" si="17"/>
        <v>4.6500000000000004</v>
      </c>
      <c r="H42">
        <f t="shared" si="17"/>
        <v>4.6500000000000004</v>
      </c>
      <c r="I42">
        <f t="shared" si="17"/>
        <v>4.6500000000000004</v>
      </c>
      <c r="J42">
        <f t="shared" si="17"/>
        <v>4.6500000000000004</v>
      </c>
      <c r="K42" s="19">
        <f>IF(基本情報!$D$6=1,地域別用途別基準値!C42,IF(基本情報!$D$6=2,地域別用途別基準値!D42,IF(基本情報!$D$6=3,地域別用途別基準値!E42,IF(基本情報!$D$6=4,地域別用途別基準値!F42,IF(基本情報!$D$6=5,地域別用途別基準値!G42,IF(基本情報!$D$6=6,地域別用途別基準値!H42,IF(基本情報!$D$6=7,地域別用途別基準値!I42,IF(基本情報!$D$6=8,地域別用途別基準値!J42))))))))</f>
        <v>4.6500000000000004</v>
      </c>
      <c r="L42" s="10">
        <v>4.6475</v>
      </c>
      <c r="M42" s="10">
        <v>4.6475</v>
      </c>
      <c r="N42" s="10">
        <v>4.6475</v>
      </c>
      <c r="O42" s="10">
        <v>4.6475</v>
      </c>
      <c r="P42" s="10">
        <v>4.6475</v>
      </c>
      <c r="Q42" s="10">
        <v>4.6475</v>
      </c>
      <c r="R42" s="10">
        <v>4.6475</v>
      </c>
      <c r="S42" s="10">
        <v>4.6475</v>
      </c>
    </row>
    <row r="43" spans="2:19">
      <c r="B43">
        <v>2</v>
      </c>
      <c r="C43" s="9">
        <f t="shared" ref="C43:C44" si="18">ROUND(L43,1)</f>
        <v>5.7</v>
      </c>
      <c r="D43" s="9">
        <f t="shared" ref="D43:D44" si="19">ROUND(M43,1)</f>
        <v>5.7</v>
      </c>
      <c r="E43" s="9">
        <f t="shared" ref="E43:E44" si="20">ROUND(N43,1)</f>
        <v>5.7</v>
      </c>
      <c r="F43" s="9">
        <f t="shared" ref="F43:F44" si="21">ROUND(O43,1)</f>
        <v>5.7</v>
      </c>
      <c r="G43" s="9">
        <f t="shared" ref="G43:G44" si="22">ROUND(P43,1)</f>
        <v>5.7</v>
      </c>
      <c r="H43" s="9">
        <f t="shared" ref="H43:H44" si="23">ROUND(Q43,1)</f>
        <v>5.7</v>
      </c>
      <c r="I43" s="9">
        <f t="shared" ref="I43:I44" si="24">ROUND(R43,1)</f>
        <v>5.7</v>
      </c>
      <c r="J43" s="9">
        <f t="shared" ref="J43:J44" si="25">ROUND(S43,1)</f>
        <v>5.7</v>
      </c>
      <c r="K43" s="19">
        <f>IF(基本情報!$D$6=1,地域別用途別基準値!C43,IF(基本情報!$D$6=2,地域別用途別基準値!D43,IF(基本情報!$D$6=3,地域別用途別基準値!E43,IF(基本情報!$D$6=4,地域別用途別基準値!F43,IF(基本情報!$D$6=5,地域別用途別基準値!G43,IF(基本情報!$D$6=6,地域別用途別基準値!H43,IF(基本情報!$D$6=7,地域別用途別基準値!I43,IF(基本情報!$D$6=8,地域別用途別基準値!J43))))))))</f>
        <v>5.7</v>
      </c>
      <c r="L43" s="9">
        <v>5.7200000000000006</v>
      </c>
      <c r="M43" s="9">
        <v>5.7200000000000006</v>
      </c>
      <c r="N43" s="9">
        <v>5.7200000000000006</v>
      </c>
      <c r="O43" s="9">
        <v>5.7200000000000006</v>
      </c>
      <c r="P43" s="9">
        <v>5.7200000000000006</v>
      </c>
      <c r="Q43" s="9">
        <v>5.7200000000000006</v>
      </c>
      <c r="R43" s="9">
        <v>5.7200000000000006</v>
      </c>
      <c r="S43" s="9">
        <v>5.7200000000000006</v>
      </c>
    </row>
    <row r="44" spans="2:19">
      <c r="B44">
        <v>3</v>
      </c>
      <c r="C44" s="9">
        <f t="shared" si="18"/>
        <v>6.8</v>
      </c>
      <c r="D44" s="9">
        <f t="shared" si="19"/>
        <v>6.8</v>
      </c>
      <c r="E44" s="9">
        <f t="shared" si="20"/>
        <v>6.8</v>
      </c>
      <c r="F44" s="9">
        <f t="shared" si="21"/>
        <v>6.8</v>
      </c>
      <c r="G44" s="9">
        <f t="shared" si="22"/>
        <v>6.8</v>
      </c>
      <c r="H44" s="9">
        <f t="shared" si="23"/>
        <v>6.8</v>
      </c>
      <c r="I44" s="9">
        <f t="shared" si="24"/>
        <v>6.8</v>
      </c>
      <c r="J44" s="9">
        <f t="shared" si="25"/>
        <v>6.8</v>
      </c>
      <c r="K44" s="19">
        <f>IF(基本情報!$D$6=1,地域別用途別基準値!C44,IF(基本情報!$D$6=2,地域別用途別基準値!D44,IF(基本情報!$D$6=3,地域別用途別基準値!E44,IF(基本情報!$D$6=4,地域別用途別基準値!F44,IF(基本情報!$D$6=5,地域別用途別基準値!G44,IF(基本情報!$D$6=6,地域別用途別基準値!H44,IF(基本情報!$D$6=7,地域別用途別基準値!I44,IF(基本情報!$D$6=8,地域別用途別基準値!J44))))))))</f>
        <v>6.8</v>
      </c>
      <c r="L44" s="9">
        <v>6.7925000000000004</v>
      </c>
      <c r="M44" s="9">
        <v>6.7925000000000004</v>
      </c>
      <c r="N44" s="9">
        <v>6.7925000000000004</v>
      </c>
      <c r="O44" s="9">
        <v>6.7925000000000004</v>
      </c>
      <c r="P44" s="9">
        <v>6.7925000000000004</v>
      </c>
      <c r="Q44" s="9">
        <v>6.7925000000000004</v>
      </c>
      <c r="R44" s="9">
        <v>6.7925000000000004</v>
      </c>
      <c r="S44" s="9">
        <v>6.7925000000000004</v>
      </c>
    </row>
    <row r="45" spans="2:19">
      <c r="B45">
        <v>4</v>
      </c>
      <c r="C45">
        <f t="shared" ref="C45:J45" si="26">ROUND(L45,2)</f>
        <v>7.15</v>
      </c>
      <c r="D45">
        <f t="shared" si="26"/>
        <v>7.15</v>
      </c>
      <c r="E45">
        <f t="shared" si="26"/>
        <v>7.15</v>
      </c>
      <c r="F45">
        <f t="shared" si="26"/>
        <v>7.15</v>
      </c>
      <c r="G45">
        <f t="shared" si="26"/>
        <v>7.15</v>
      </c>
      <c r="H45">
        <f t="shared" si="26"/>
        <v>7.15</v>
      </c>
      <c r="I45">
        <f t="shared" si="26"/>
        <v>7.15</v>
      </c>
      <c r="J45">
        <f t="shared" si="26"/>
        <v>7.15</v>
      </c>
      <c r="K45" s="19">
        <f>IF(基本情報!$D$6=1,地域別用途別基準値!C45,IF(基本情報!$D$6=2,地域別用途別基準値!D45,IF(基本情報!$D$6=3,地域別用途別基準値!E45,IF(基本情報!$D$6=4,地域別用途別基準値!F45,IF(基本情報!$D$6=5,地域別用途別基準値!G45,IF(基本情報!$D$6=6,地域別用途別基準値!H45,IF(基本情報!$D$6=7,地域別用途別基準値!I45,IF(基本情報!$D$6=8,地域別用途別基準値!J45))))))))</f>
        <v>7.15</v>
      </c>
      <c r="L45" s="10">
        <v>7.15</v>
      </c>
      <c r="M45" s="10">
        <v>7.15</v>
      </c>
      <c r="N45" s="10">
        <v>7.15</v>
      </c>
      <c r="O45" s="10">
        <v>7.15</v>
      </c>
      <c r="P45" s="10">
        <v>7.15</v>
      </c>
      <c r="Q45" s="10">
        <v>7.15</v>
      </c>
      <c r="R45" s="10">
        <v>7.15</v>
      </c>
      <c r="S45" s="10">
        <v>7.15</v>
      </c>
    </row>
    <row r="46" spans="2:19">
      <c r="B46">
        <v>5</v>
      </c>
      <c r="C46" s="9">
        <f t="shared" ref="C46:C47" si="27">ROUND(L46,1)</f>
        <v>8.1999999999999993</v>
      </c>
      <c r="D46" s="9">
        <f t="shared" ref="D46:D47" si="28">ROUND(M46,1)</f>
        <v>8.1999999999999993</v>
      </c>
      <c r="E46" s="9">
        <f t="shared" ref="E46:E47" si="29">ROUND(N46,1)</f>
        <v>8.1999999999999993</v>
      </c>
      <c r="F46" s="9">
        <f t="shared" ref="F46:F47" si="30">ROUND(O46,1)</f>
        <v>8.1999999999999993</v>
      </c>
      <c r="G46" s="9">
        <f t="shared" ref="G46:G47" si="31">ROUND(P46,1)</f>
        <v>8.1999999999999993</v>
      </c>
      <c r="H46" s="9">
        <f t="shared" ref="H46:H47" si="32">ROUND(Q46,1)</f>
        <v>8.1999999999999993</v>
      </c>
      <c r="I46" s="9">
        <f t="shared" ref="I46:I47" si="33">ROUND(R46,1)</f>
        <v>8.1999999999999993</v>
      </c>
      <c r="J46" s="9">
        <f t="shared" ref="J46:J47" si="34">ROUND(S46,1)</f>
        <v>8.1999999999999993</v>
      </c>
      <c r="K46" s="19">
        <f>IF(基本情報!$D$6=1,地域別用途別基準値!C46,IF(基本情報!$D$6=2,地域別用途別基準値!D46,IF(基本情報!$D$6=3,地域別用途別基準値!E46,IF(基本情報!$D$6=4,地域別用途別基準値!F46,IF(基本情報!$D$6=5,地域別用途別基準値!G46,IF(基本情報!$D$6=6,地域別用途別基準値!H46,IF(基本情報!$D$6=7,地域別用途別基準値!I46,IF(基本情報!$D$6=8,地域別用途別基準値!J46))))))))</f>
        <v>8.1999999999999993</v>
      </c>
      <c r="L46" s="9">
        <v>8.2225000000000001</v>
      </c>
      <c r="M46" s="9">
        <v>8.2225000000000001</v>
      </c>
      <c r="N46" s="9">
        <v>8.2225000000000001</v>
      </c>
      <c r="O46" s="9">
        <v>8.2225000000000001</v>
      </c>
      <c r="P46" s="9">
        <v>8.2225000000000001</v>
      </c>
      <c r="Q46" s="9">
        <v>8.2225000000000001</v>
      </c>
      <c r="R46" s="9">
        <v>8.2225000000000001</v>
      </c>
      <c r="S46" s="9">
        <v>8.2225000000000001</v>
      </c>
    </row>
    <row r="47" spans="2:19">
      <c r="B47">
        <v>6</v>
      </c>
      <c r="C47" s="9">
        <f t="shared" si="27"/>
        <v>9.3000000000000007</v>
      </c>
      <c r="D47" s="9">
        <f t="shared" si="28"/>
        <v>9.3000000000000007</v>
      </c>
      <c r="E47" s="9">
        <f t="shared" si="29"/>
        <v>9.3000000000000007</v>
      </c>
      <c r="F47" s="9">
        <f t="shared" si="30"/>
        <v>9.3000000000000007</v>
      </c>
      <c r="G47" s="9">
        <f t="shared" si="31"/>
        <v>9.3000000000000007</v>
      </c>
      <c r="H47" s="9">
        <f t="shared" si="32"/>
        <v>9.3000000000000007</v>
      </c>
      <c r="I47" s="9">
        <f t="shared" si="33"/>
        <v>9.3000000000000007</v>
      </c>
      <c r="J47" s="9">
        <f t="shared" si="34"/>
        <v>9.3000000000000007</v>
      </c>
      <c r="K47" s="19">
        <f>IF(基本情報!$D$6=1,地域別用途別基準値!C47,IF(基本情報!$D$6=2,地域別用途別基準値!D47,IF(基本情報!$D$6=3,地域別用途別基準値!E47,IF(基本情報!$D$6=4,地域別用途別基準値!F47,IF(基本情報!$D$6=5,地域別用途別基準値!G47,IF(基本情報!$D$6=6,地域別用途別基準値!H47,IF(基本情報!$D$6=7,地域別用途別基準値!I47,IF(基本情報!$D$6=8,地域別用途別基準値!J47))))))))</f>
        <v>9.3000000000000007</v>
      </c>
      <c r="L47" s="9">
        <v>9.2949999999999999</v>
      </c>
      <c r="M47" s="9">
        <v>9.2949999999999999</v>
      </c>
      <c r="N47" s="9">
        <v>9.2949999999999999</v>
      </c>
      <c r="O47" s="9">
        <v>9.2949999999999999</v>
      </c>
      <c r="P47" s="9">
        <v>9.2949999999999999</v>
      </c>
      <c r="Q47" s="9">
        <v>9.2949999999999999</v>
      </c>
      <c r="R47" s="9">
        <v>9.2949999999999999</v>
      </c>
      <c r="S47" s="9">
        <v>9.2949999999999999</v>
      </c>
    </row>
    <row r="49" spans="2:19">
      <c r="B49" t="s">
        <v>6</v>
      </c>
      <c r="C49" s="1" t="s">
        <v>135</v>
      </c>
      <c r="D49" s="13">
        <f>IF(基本情報!$D$7=1,地域別用途別基準値!K51,IF(基本情報!$D$7=2,地域別用途別基準値!K52,IF(基本情報!$D$7=3,地域別用途別基準値!K53,IF(基本情報!$D$7=4,地域別用途別基準値!K54,IF(基本情報!$D$7=5,地域別用途別基準値!K55,IF(基本情報!$D$7=6,地域別用途別基準値!K56))))))</f>
        <v>1.2</v>
      </c>
    </row>
    <row r="50" spans="2:19">
      <c r="C50">
        <v>1</v>
      </c>
      <c r="D50">
        <v>2</v>
      </c>
      <c r="E50">
        <v>3</v>
      </c>
      <c r="F50">
        <v>4</v>
      </c>
      <c r="G50">
        <v>5</v>
      </c>
      <c r="H50">
        <v>6</v>
      </c>
      <c r="I50">
        <v>7</v>
      </c>
      <c r="J50">
        <v>8</v>
      </c>
      <c r="K50" s="4" t="s">
        <v>134</v>
      </c>
    </row>
    <row r="51" spans="2:19">
      <c r="B51">
        <v>1</v>
      </c>
      <c r="C51">
        <v>1.2</v>
      </c>
      <c r="D51">
        <v>1.2</v>
      </c>
      <c r="E51">
        <v>1.2</v>
      </c>
      <c r="F51">
        <v>1.2</v>
      </c>
      <c r="G51">
        <v>1.2</v>
      </c>
      <c r="H51">
        <v>1.2</v>
      </c>
      <c r="I51">
        <v>1.2</v>
      </c>
      <c r="J51">
        <v>1.2</v>
      </c>
      <c r="K51" s="19">
        <f>IF(基本情報!$D$6=1,地域別用途別基準値!C51,IF(基本情報!$D$6=2,地域別用途別基準値!D51,IF(基本情報!$D$6=3,地域別用途別基準値!E51,IF(基本情報!$D$6=4,地域別用途別基準値!F51,IF(基本情報!$D$6=5,地域別用途別基準値!G51,IF(基本情報!$D$6=6,地域別用途別基準値!H51,IF(基本情報!$D$6=7,地域別用途別基準値!I51,IF(基本情報!$D$6=8,地域別用途別基準値!J51))))))))</f>
        <v>1.2</v>
      </c>
    </row>
    <row r="52" spans="2:19">
      <c r="B52">
        <v>2</v>
      </c>
      <c r="C52">
        <v>1.2</v>
      </c>
      <c r="D52">
        <v>1.2</v>
      </c>
      <c r="E52">
        <v>1.2</v>
      </c>
      <c r="F52">
        <v>1.2</v>
      </c>
      <c r="G52">
        <v>1.2</v>
      </c>
      <c r="H52">
        <v>1.2</v>
      </c>
      <c r="I52">
        <v>1.2</v>
      </c>
      <c r="J52">
        <v>1.2</v>
      </c>
      <c r="K52" s="19">
        <f>IF(基本情報!$D$6=1,地域別用途別基準値!C52,IF(基本情報!$D$6=2,地域別用途別基準値!D52,IF(基本情報!$D$6=3,地域別用途別基準値!E52,IF(基本情報!$D$6=4,地域別用途別基準値!F52,IF(基本情報!$D$6=5,地域別用途別基準値!G52,IF(基本情報!$D$6=6,地域別用途別基準値!H52,IF(基本情報!$D$6=7,地域別用途別基準値!I52,IF(基本情報!$D$6=8,地域別用途別基準値!J52))))))))</f>
        <v>1.2</v>
      </c>
    </row>
    <row r="53" spans="2:19">
      <c r="B53">
        <v>3</v>
      </c>
      <c r="C53">
        <v>1.2</v>
      </c>
      <c r="D53">
        <v>1.2</v>
      </c>
      <c r="E53">
        <v>1.2</v>
      </c>
      <c r="F53">
        <v>1.2</v>
      </c>
      <c r="G53">
        <v>1.2</v>
      </c>
      <c r="H53">
        <v>1.2</v>
      </c>
      <c r="I53">
        <v>1.2</v>
      </c>
      <c r="J53">
        <v>1.2</v>
      </c>
      <c r="K53" s="19">
        <f>IF(基本情報!$D$6=1,地域別用途別基準値!C53,IF(基本情報!$D$6=2,地域別用途別基準値!D53,IF(基本情報!$D$6=3,地域別用途別基準値!E53,IF(基本情報!$D$6=4,地域別用途別基準値!F53,IF(基本情報!$D$6=5,地域別用途別基準値!G53,IF(基本情報!$D$6=6,地域別用途別基準値!H53,IF(基本情報!$D$6=7,地域別用途別基準値!I53,IF(基本情報!$D$6=8,地域別用途別基準値!J53))))))))</f>
        <v>1.2</v>
      </c>
    </row>
    <row r="54" spans="2:19">
      <c r="B54">
        <v>4</v>
      </c>
      <c r="C54">
        <v>1.2</v>
      </c>
      <c r="D54">
        <v>1.2</v>
      </c>
      <c r="E54">
        <v>1.2</v>
      </c>
      <c r="F54">
        <v>1.2</v>
      </c>
      <c r="G54">
        <v>1.2</v>
      </c>
      <c r="H54">
        <v>1.2</v>
      </c>
      <c r="I54">
        <v>1.2</v>
      </c>
      <c r="J54">
        <v>1.2</v>
      </c>
      <c r="K54" s="19">
        <f>IF(基本情報!$D$6=1,地域別用途別基準値!C54,IF(基本情報!$D$6=2,地域別用途別基準値!D54,IF(基本情報!$D$6=3,地域別用途別基準値!E54,IF(基本情報!$D$6=4,地域別用途別基準値!F54,IF(基本情報!$D$6=5,地域別用途別基準値!G54,IF(基本情報!$D$6=6,地域別用途別基準値!H54,IF(基本情報!$D$6=7,地域別用途別基準値!I54,IF(基本情報!$D$6=8,地域別用途別基準値!J54))))))))</f>
        <v>1.2</v>
      </c>
    </row>
    <row r="55" spans="2:19">
      <c r="B55">
        <v>5</v>
      </c>
      <c r="C55">
        <v>1.2</v>
      </c>
      <c r="D55">
        <v>1.2</v>
      </c>
      <c r="E55">
        <v>1.2</v>
      </c>
      <c r="F55">
        <v>1.2</v>
      </c>
      <c r="G55">
        <v>1.2</v>
      </c>
      <c r="H55">
        <v>1.2</v>
      </c>
      <c r="I55">
        <v>1.2</v>
      </c>
      <c r="J55">
        <v>1.2</v>
      </c>
      <c r="K55" s="19">
        <f>IF(基本情報!$D$6=1,地域別用途別基準値!C55,IF(基本情報!$D$6=2,地域別用途別基準値!D55,IF(基本情報!$D$6=3,地域別用途別基準値!E55,IF(基本情報!$D$6=4,地域別用途別基準値!F55,IF(基本情報!$D$6=5,地域別用途別基準値!G55,IF(基本情報!$D$6=6,地域別用途別基準値!H55,IF(基本情報!$D$6=7,地域別用途別基準値!I55,IF(基本情報!$D$6=8,地域別用途別基準値!J55))))))))</f>
        <v>1.2</v>
      </c>
    </row>
    <row r="56" spans="2:19">
      <c r="B56">
        <v>6</v>
      </c>
      <c r="C56">
        <v>1.2</v>
      </c>
      <c r="D56">
        <v>1.2</v>
      </c>
      <c r="E56">
        <v>1.2</v>
      </c>
      <c r="F56">
        <v>1.2</v>
      </c>
      <c r="G56">
        <v>1.2</v>
      </c>
      <c r="H56">
        <v>1.2</v>
      </c>
      <c r="I56">
        <v>1.2</v>
      </c>
      <c r="J56">
        <v>1.2</v>
      </c>
      <c r="K56" s="19">
        <f>IF(基本情報!$D$6=1,地域別用途別基準値!C56,IF(基本情報!$D$6=2,地域別用途別基準値!D56,IF(基本情報!$D$6=3,地域別用途別基準値!E56,IF(基本情報!$D$6=4,地域別用途別基準値!F56,IF(基本情報!$D$6=5,地域別用途別基準値!G56,IF(基本情報!$D$6=6,地域別用途別基準値!H56,IF(基本情報!$D$6=7,地域別用途別基準値!I56,IF(基本情報!$D$6=8,地域別用途別基準値!J56))))))))</f>
        <v>1.2</v>
      </c>
    </row>
    <row r="58" spans="2:19">
      <c r="B58" t="s">
        <v>7</v>
      </c>
      <c r="C58" s="1" t="s">
        <v>135</v>
      </c>
      <c r="D58" s="13">
        <f>IF(基本情報!$D$7=1,地域別用途別基準値!K60,IF(基本情報!$D$7=2,地域別用途別基準値!K61,IF(基本情報!$D$7=3,地域別用途別基準値!K62,IF(基本情報!$D$7=4,地域別用途別基準値!K63,IF(基本情報!$D$7=5,地域別用途別基準値!K64,IF(基本情報!$D$7=6,地域別用途別基準値!K65))))))</f>
        <v>27.1</v>
      </c>
    </row>
    <row r="59" spans="2:19">
      <c r="C59">
        <v>1</v>
      </c>
      <c r="D59">
        <v>2</v>
      </c>
      <c r="E59">
        <v>3</v>
      </c>
      <c r="F59">
        <v>4</v>
      </c>
      <c r="G59">
        <v>5</v>
      </c>
      <c r="H59">
        <v>6</v>
      </c>
      <c r="I59">
        <v>7</v>
      </c>
      <c r="J59">
        <v>8</v>
      </c>
      <c r="K59" s="4" t="s">
        <v>134</v>
      </c>
    </row>
    <row r="60" spans="2:19">
      <c r="B60">
        <v>1</v>
      </c>
      <c r="C60" s="9">
        <f t="shared" ref="C60:C65" si="35">ROUND(L60,1)</f>
        <v>11.8</v>
      </c>
      <c r="D60" s="9">
        <f t="shared" ref="D60:D65" si="36">ROUND(M60,1)</f>
        <v>11.8</v>
      </c>
      <c r="E60" s="9">
        <f t="shared" ref="E60:E65" si="37">ROUND(N60,1)</f>
        <v>11.8</v>
      </c>
      <c r="F60" s="9">
        <f t="shared" ref="F60:F65" si="38">ROUND(O60,1)</f>
        <v>11.8</v>
      </c>
      <c r="G60" s="9">
        <f t="shared" ref="G60:G65" si="39">ROUND(P60,1)</f>
        <v>11.8</v>
      </c>
      <c r="H60" s="9">
        <f t="shared" ref="H60:H65" si="40">ROUND(Q60,1)</f>
        <v>11.8</v>
      </c>
      <c r="I60" s="9">
        <f t="shared" ref="I60:I65" si="41">ROUND(R60,1)</f>
        <v>11.8</v>
      </c>
      <c r="J60" s="9">
        <f t="shared" ref="J60:J65" si="42">ROUND(S60,1)</f>
        <v>11.8</v>
      </c>
      <c r="K60" s="19">
        <f>IF(基本情報!$D$6=1,地域別用途別基準値!C60,IF(基本情報!$D$6=2,地域別用途別基準値!D60,IF(基本情報!$D$6=3,地域別用途別基準値!E60,IF(基本情報!$D$6=4,地域別用途別基準値!F60,IF(基本情報!$D$6=5,地域別用途別基準値!G60,IF(基本情報!$D$6=6,地域別用途別基準値!H60,IF(基本情報!$D$6=7,地域別用途別基準値!I60,IF(基本情報!$D$6=8,地域別用途別基準値!J60))))))))</f>
        <v>11.8</v>
      </c>
      <c r="L60">
        <v>11.8</v>
      </c>
      <c r="M60">
        <v>11.8</v>
      </c>
      <c r="N60">
        <v>11.8</v>
      </c>
      <c r="O60">
        <v>11.8</v>
      </c>
      <c r="P60">
        <v>11.8</v>
      </c>
      <c r="Q60">
        <v>11.8</v>
      </c>
      <c r="R60">
        <v>11.8</v>
      </c>
      <c r="S60">
        <v>11.8</v>
      </c>
    </row>
    <row r="61" spans="2:19">
      <c r="B61">
        <v>2</v>
      </c>
      <c r="C61" s="9">
        <f t="shared" si="35"/>
        <v>18.899999999999999</v>
      </c>
      <c r="D61" s="9">
        <f t="shared" si="36"/>
        <v>18.899999999999999</v>
      </c>
      <c r="E61" s="9">
        <f t="shared" si="37"/>
        <v>18.899999999999999</v>
      </c>
      <c r="F61" s="9">
        <f t="shared" si="38"/>
        <v>18.899999999999999</v>
      </c>
      <c r="G61" s="9">
        <f t="shared" si="39"/>
        <v>18.899999999999999</v>
      </c>
      <c r="H61" s="9">
        <f t="shared" si="40"/>
        <v>18.899999999999999</v>
      </c>
      <c r="I61" s="9">
        <f t="shared" si="41"/>
        <v>18.899999999999999</v>
      </c>
      <c r="J61" s="9">
        <f t="shared" si="42"/>
        <v>18.899999999999999</v>
      </c>
      <c r="K61" s="19">
        <f>IF(基本情報!$D$6=1,地域別用途別基準値!C61,IF(基本情報!$D$6=2,地域別用途別基準値!D61,IF(基本情報!$D$6=3,地域別用途別基準値!E61,IF(基本情報!$D$6=4,地域別用途別基準値!F61,IF(基本情報!$D$6=5,地域別用途別基準値!G61,IF(基本情報!$D$6=6,地域別用途別基準値!H61,IF(基本情報!$D$6=7,地域別用途別基準値!I61,IF(基本情報!$D$6=8,地域別用途別基準値!J61))))))))</f>
        <v>18.899999999999999</v>
      </c>
      <c r="L61">
        <v>18.880000000000003</v>
      </c>
      <c r="M61">
        <v>18.880000000000003</v>
      </c>
      <c r="N61">
        <v>18.880000000000003</v>
      </c>
      <c r="O61">
        <v>18.880000000000003</v>
      </c>
      <c r="P61">
        <v>18.880000000000003</v>
      </c>
      <c r="Q61">
        <v>18.880000000000003</v>
      </c>
      <c r="R61">
        <v>18.880000000000003</v>
      </c>
      <c r="S61">
        <v>18.880000000000003</v>
      </c>
    </row>
    <row r="62" spans="2:19">
      <c r="B62">
        <v>3</v>
      </c>
      <c r="C62" s="9">
        <f t="shared" si="35"/>
        <v>22.4</v>
      </c>
      <c r="D62" s="9">
        <f t="shared" si="36"/>
        <v>22.4</v>
      </c>
      <c r="E62" s="9">
        <f t="shared" si="37"/>
        <v>22.4</v>
      </c>
      <c r="F62" s="9">
        <f t="shared" si="38"/>
        <v>22.4</v>
      </c>
      <c r="G62" s="9">
        <f t="shared" si="39"/>
        <v>22.4</v>
      </c>
      <c r="H62" s="9">
        <f t="shared" si="40"/>
        <v>22.4</v>
      </c>
      <c r="I62" s="9">
        <f t="shared" si="41"/>
        <v>22.4</v>
      </c>
      <c r="J62" s="9">
        <f t="shared" si="42"/>
        <v>22.4</v>
      </c>
      <c r="K62" s="19">
        <f>IF(基本情報!$D$6=1,地域別用途別基準値!C62,IF(基本情報!$D$6=2,地域別用途別基準値!D62,IF(基本情報!$D$6=3,地域別用途別基準値!E62,IF(基本情報!$D$6=4,地域別用途別基準値!F62,IF(基本情報!$D$6=5,地域別用途別基準値!G62,IF(基本情報!$D$6=6,地域別用途別基準値!H62,IF(基本情報!$D$6=7,地域別用途別基準値!I62,IF(基本情報!$D$6=8,地域別用途別基準値!J62))))))))</f>
        <v>22.4</v>
      </c>
      <c r="L62">
        <v>22.42</v>
      </c>
      <c r="M62">
        <v>22.42</v>
      </c>
      <c r="N62">
        <v>22.42</v>
      </c>
      <c r="O62">
        <v>22.42</v>
      </c>
      <c r="P62">
        <v>22.42</v>
      </c>
      <c r="Q62">
        <v>22.42</v>
      </c>
      <c r="R62">
        <v>22.42</v>
      </c>
      <c r="S62">
        <v>22.42</v>
      </c>
    </row>
    <row r="63" spans="2:19">
      <c r="B63">
        <v>4</v>
      </c>
      <c r="C63" s="9">
        <f t="shared" si="35"/>
        <v>23.6</v>
      </c>
      <c r="D63" s="9">
        <f t="shared" si="36"/>
        <v>23.6</v>
      </c>
      <c r="E63" s="9">
        <f t="shared" si="37"/>
        <v>23.6</v>
      </c>
      <c r="F63" s="9">
        <f t="shared" si="38"/>
        <v>23.6</v>
      </c>
      <c r="G63" s="9">
        <f t="shared" si="39"/>
        <v>23.6</v>
      </c>
      <c r="H63" s="9">
        <f t="shared" si="40"/>
        <v>23.6</v>
      </c>
      <c r="I63" s="9">
        <f t="shared" si="41"/>
        <v>23.6</v>
      </c>
      <c r="J63" s="9">
        <f t="shared" si="42"/>
        <v>23.6</v>
      </c>
      <c r="K63" s="19">
        <f>IF(基本情報!$D$6=1,地域別用途別基準値!C63,IF(基本情報!$D$6=2,地域別用途別基準値!D63,IF(基本情報!$D$6=3,地域別用途別基準値!E63,IF(基本情報!$D$6=4,地域別用途別基準値!F63,IF(基本情報!$D$6=5,地域別用途別基準値!G63,IF(基本情報!$D$6=6,地域別用途別基準値!H63,IF(基本情報!$D$6=7,地域別用途別基準値!I63,IF(基本情報!$D$6=8,地域別用途別基準値!J63))))))))</f>
        <v>23.6</v>
      </c>
      <c r="L63">
        <v>23.6</v>
      </c>
      <c r="M63">
        <v>23.6</v>
      </c>
      <c r="N63">
        <v>23.6</v>
      </c>
      <c r="O63">
        <v>23.6</v>
      </c>
      <c r="P63">
        <v>23.6</v>
      </c>
      <c r="Q63">
        <v>23.6</v>
      </c>
      <c r="R63">
        <v>23.6</v>
      </c>
      <c r="S63">
        <v>23.6</v>
      </c>
    </row>
    <row r="64" spans="2:19">
      <c r="B64">
        <v>5</v>
      </c>
      <c r="C64" s="9">
        <f t="shared" si="35"/>
        <v>27.1</v>
      </c>
      <c r="D64" s="9">
        <f t="shared" si="36"/>
        <v>27.1</v>
      </c>
      <c r="E64" s="9">
        <f t="shared" si="37"/>
        <v>27.1</v>
      </c>
      <c r="F64" s="9">
        <f t="shared" si="38"/>
        <v>27.1</v>
      </c>
      <c r="G64" s="9">
        <f t="shared" si="39"/>
        <v>27.1</v>
      </c>
      <c r="H64" s="9">
        <f t="shared" si="40"/>
        <v>27.1</v>
      </c>
      <c r="I64" s="9">
        <f t="shared" si="41"/>
        <v>27.1</v>
      </c>
      <c r="J64" s="9">
        <f t="shared" si="42"/>
        <v>27.1</v>
      </c>
      <c r="K64" s="19">
        <f>IF(基本情報!$D$6=1,地域別用途別基準値!C64,IF(基本情報!$D$6=2,地域別用途別基準値!D64,IF(基本情報!$D$6=3,地域別用途別基準値!E64,IF(基本情報!$D$6=4,地域別用途別基準値!F64,IF(基本情報!$D$6=5,地域別用途別基準値!G64,IF(基本情報!$D$6=6,地域別用途別基準値!H64,IF(基本情報!$D$6=7,地域別用途別基準値!I64,IF(基本情報!$D$6=8,地域別用途別基準値!J64))))))))</f>
        <v>27.1</v>
      </c>
      <c r="L64">
        <v>27.14</v>
      </c>
      <c r="M64">
        <v>27.14</v>
      </c>
      <c r="N64">
        <v>27.14</v>
      </c>
      <c r="O64">
        <v>27.14</v>
      </c>
      <c r="P64">
        <v>27.14</v>
      </c>
      <c r="Q64">
        <v>27.14</v>
      </c>
      <c r="R64">
        <v>27.14</v>
      </c>
      <c r="S64">
        <v>27.14</v>
      </c>
    </row>
    <row r="65" spans="2:19">
      <c r="B65">
        <v>6</v>
      </c>
      <c r="C65" s="9">
        <f t="shared" si="35"/>
        <v>30.7</v>
      </c>
      <c r="D65" s="9">
        <f t="shared" si="36"/>
        <v>30.7</v>
      </c>
      <c r="E65" s="9">
        <f t="shared" si="37"/>
        <v>30.7</v>
      </c>
      <c r="F65" s="9">
        <f t="shared" si="38"/>
        <v>30.7</v>
      </c>
      <c r="G65" s="9">
        <f t="shared" si="39"/>
        <v>30.7</v>
      </c>
      <c r="H65" s="9">
        <f t="shared" si="40"/>
        <v>30.7</v>
      </c>
      <c r="I65" s="9">
        <f t="shared" si="41"/>
        <v>30.7</v>
      </c>
      <c r="J65" s="9">
        <f t="shared" si="42"/>
        <v>30.7</v>
      </c>
      <c r="K65" s="19">
        <f>IF(基本情報!$D$6=1,地域別用途別基準値!C65,IF(基本情報!$D$6=2,地域別用途別基準値!D65,IF(基本情報!$D$6=3,地域別用途別基準値!E65,IF(基本情報!$D$6=4,地域別用途別基準値!F65,IF(基本情報!$D$6=5,地域別用途別基準値!G65,IF(基本情報!$D$6=6,地域別用途別基準値!H65,IF(基本情報!$D$6=7,地域別用途別基準値!I65,IF(基本情報!$D$6=8,地域別用途別基準値!J65))))))))</f>
        <v>30.7</v>
      </c>
      <c r="L65">
        <v>30.680000000000003</v>
      </c>
      <c r="M65">
        <v>30.680000000000003</v>
      </c>
      <c r="N65">
        <v>30.680000000000003</v>
      </c>
      <c r="O65">
        <v>30.680000000000003</v>
      </c>
      <c r="P65">
        <v>30.680000000000003</v>
      </c>
      <c r="Q65">
        <v>30.680000000000003</v>
      </c>
      <c r="R65">
        <v>30.680000000000003</v>
      </c>
      <c r="S65">
        <v>30.680000000000003</v>
      </c>
    </row>
    <row r="67" spans="2:19">
      <c r="B67" t="s">
        <v>8</v>
      </c>
      <c r="C67" s="1" t="s">
        <v>135</v>
      </c>
      <c r="D67" s="13">
        <f>IF(基本情報!$D$7=1,地域別用途別基準値!K69,IF(基本情報!$D$7=2,地域別用途別基準値!K70,IF(基本情報!$D$7=3,地域別用途別基準値!K71,IF(基本情報!$D$7=4,地域別用途別基準値!K72,IF(基本情報!$D$7=5,地域別用途別基準値!K73,IF(基本情報!$D$7=6,地域別用途別基準値!K74))))))</f>
        <v>4.5</v>
      </c>
    </row>
    <row r="68" spans="2:19">
      <c r="C68">
        <v>1</v>
      </c>
      <c r="D68">
        <v>2</v>
      </c>
      <c r="E68">
        <v>3</v>
      </c>
      <c r="F68">
        <v>4</v>
      </c>
      <c r="G68">
        <v>5</v>
      </c>
      <c r="H68">
        <v>6</v>
      </c>
      <c r="I68">
        <v>7</v>
      </c>
      <c r="J68">
        <v>8</v>
      </c>
      <c r="K68" s="4" t="s">
        <v>134</v>
      </c>
    </row>
    <row r="69" spans="2:19">
      <c r="B69">
        <v>1</v>
      </c>
      <c r="C69" s="9">
        <f t="shared" ref="C69:C74" si="43">ROUND(L69,1)</f>
        <v>1.2</v>
      </c>
      <c r="D69" s="9">
        <f t="shared" ref="D69:D74" si="44">ROUND(M69,1)</f>
        <v>1.2</v>
      </c>
      <c r="E69" s="9">
        <f t="shared" ref="E69:E74" si="45">ROUND(N69,1)</f>
        <v>1.2</v>
      </c>
      <c r="F69" s="9">
        <f t="shared" ref="F69:F74" si="46">ROUND(O69,1)</f>
        <v>1.2</v>
      </c>
      <c r="G69" s="9">
        <f t="shared" ref="G69:G74" si="47">ROUND(P69,1)</f>
        <v>1.2</v>
      </c>
      <c r="H69" s="9">
        <f t="shared" ref="H69:H74" si="48">ROUND(Q69,1)</f>
        <v>1.2</v>
      </c>
      <c r="I69" s="9">
        <f t="shared" ref="I69:I74" si="49">ROUND(R69,1)</f>
        <v>1.2</v>
      </c>
      <c r="J69" s="9">
        <f t="shared" ref="J69:J74" si="50">ROUND(S69,1)</f>
        <v>1.2</v>
      </c>
      <c r="K69" s="19">
        <f>IF(基本情報!$D$6=1,地域別用途別基準値!C69,IF(基本情報!$D$6=2,地域別用途別基準値!D69,IF(基本情報!$D$6=3,地域別用途別基準値!E69,IF(基本情報!$D$6=4,地域別用途別基準値!F69,IF(基本情報!$D$6=5,地域別用途別基準値!G69,IF(基本情報!$D$6=6,地域別用途別基準値!H69,IF(基本情報!$D$6=7,地域別用途別基準値!I69,IF(基本情報!$D$6=8,地域別用途別基準値!J69))))))))</f>
        <v>1.2</v>
      </c>
      <c r="L69">
        <v>1.17</v>
      </c>
      <c r="M69">
        <v>1.17</v>
      </c>
      <c r="N69">
        <v>1.17</v>
      </c>
      <c r="O69">
        <v>1.17</v>
      </c>
      <c r="P69">
        <v>1.17</v>
      </c>
      <c r="Q69">
        <v>1.17</v>
      </c>
      <c r="R69">
        <v>1.17</v>
      </c>
      <c r="S69">
        <v>1.17</v>
      </c>
    </row>
    <row r="70" spans="2:19">
      <c r="B70">
        <v>2</v>
      </c>
      <c r="C70" s="9">
        <f t="shared" si="43"/>
        <v>2.7</v>
      </c>
      <c r="D70" s="9">
        <f t="shared" si="44"/>
        <v>2.7</v>
      </c>
      <c r="E70" s="9">
        <f t="shared" si="45"/>
        <v>2.7</v>
      </c>
      <c r="F70" s="9">
        <f t="shared" si="46"/>
        <v>2.7</v>
      </c>
      <c r="G70" s="9">
        <f t="shared" si="47"/>
        <v>2.7</v>
      </c>
      <c r="H70" s="9">
        <f t="shared" si="48"/>
        <v>2.7</v>
      </c>
      <c r="I70" s="9">
        <f t="shared" si="49"/>
        <v>2.7</v>
      </c>
      <c r="J70" s="9">
        <f t="shared" si="50"/>
        <v>2.7</v>
      </c>
      <c r="K70" s="19">
        <f>IF(基本情報!$D$6=1,地域別用途別基準値!C70,IF(基本情報!$D$6=2,地域別用途別基準値!D70,IF(基本情報!$D$6=3,地域別用途別基準値!E70,IF(基本情報!$D$6=4,地域別用途別基準値!F70,IF(基本情報!$D$6=5,地域別用途別基準値!G70,IF(基本情報!$D$6=6,地域別用途別基準値!H70,IF(基本情報!$D$6=7,地域別用途別基準値!I70,IF(基本情報!$D$6=8,地域別用途別基準値!J70))))))))</f>
        <v>2.7</v>
      </c>
      <c r="L70">
        <v>2.73</v>
      </c>
      <c r="M70">
        <v>2.73</v>
      </c>
      <c r="N70">
        <v>2.73</v>
      </c>
      <c r="O70">
        <v>2.73</v>
      </c>
      <c r="P70">
        <v>2.73</v>
      </c>
      <c r="Q70">
        <v>2.73</v>
      </c>
      <c r="R70">
        <v>2.73</v>
      </c>
      <c r="S70">
        <v>2.73</v>
      </c>
    </row>
    <row r="71" spans="2:19">
      <c r="B71">
        <v>3</v>
      </c>
      <c r="C71" s="9">
        <f t="shared" si="43"/>
        <v>3.3</v>
      </c>
      <c r="D71" s="9">
        <f t="shared" si="44"/>
        <v>3.3</v>
      </c>
      <c r="E71" s="9">
        <f t="shared" si="45"/>
        <v>3.3</v>
      </c>
      <c r="F71" s="9">
        <f t="shared" si="46"/>
        <v>3.3</v>
      </c>
      <c r="G71" s="9">
        <f t="shared" si="47"/>
        <v>3.3</v>
      </c>
      <c r="H71" s="9">
        <f t="shared" si="48"/>
        <v>3.3</v>
      </c>
      <c r="I71" s="9">
        <f t="shared" si="49"/>
        <v>3.3</v>
      </c>
      <c r="J71" s="9">
        <f t="shared" si="50"/>
        <v>3.3</v>
      </c>
      <c r="K71" s="19">
        <f>IF(基本情報!$D$6=1,地域別用途別基準値!C71,IF(基本情報!$D$6=2,地域別用途別基準値!D71,IF(基本情報!$D$6=3,地域別用途別基準値!E71,IF(基本情報!$D$6=4,地域別用途別基準値!F71,IF(基本情報!$D$6=5,地域別用途別基準値!G71,IF(基本情報!$D$6=6,地域別用途別基準値!H71,IF(基本情報!$D$6=7,地域別用途別基準値!I71,IF(基本情報!$D$6=8,地域別用途別基準値!J71))))))))</f>
        <v>3.3</v>
      </c>
      <c r="L71">
        <v>3.3149999999999999</v>
      </c>
      <c r="M71">
        <v>3.3149999999999999</v>
      </c>
      <c r="N71">
        <v>3.3149999999999999</v>
      </c>
      <c r="O71">
        <v>3.3149999999999999</v>
      </c>
      <c r="P71">
        <v>3.3149999999999999</v>
      </c>
      <c r="Q71">
        <v>3.3149999999999999</v>
      </c>
      <c r="R71">
        <v>3.3149999999999999</v>
      </c>
      <c r="S71">
        <v>3.3149999999999999</v>
      </c>
    </row>
    <row r="72" spans="2:19">
      <c r="B72">
        <v>4</v>
      </c>
      <c r="C72" s="9">
        <f t="shared" si="43"/>
        <v>3.9</v>
      </c>
      <c r="D72" s="9">
        <f t="shared" si="44"/>
        <v>3.9</v>
      </c>
      <c r="E72" s="9">
        <f t="shared" si="45"/>
        <v>3.9</v>
      </c>
      <c r="F72" s="9">
        <f t="shared" si="46"/>
        <v>3.9</v>
      </c>
      <c r="G72" s="9">
        <f t="shared" si="47"/>
        <v>3.9</v>
      </c>
      <c r="H72" s="9">
        <f t="shared" si="48"/>
        <v>3.9</v>
      </c>
      <c r="I72" s="9">
        <f t="shared" si="49"/>
        <v>3.9</v>
      </c>
      <c r="J72" s="9">
        <f t="shared" si="50"/>
        <v>3.9</v>
      </c>
      <c r="K72" s="19">
        <f>IF(基本情報!$D$6=1,地域別用途別基準値!C72,IF(基本情報!$D$6=2,地域別用途別基準値!D72,IF(基本情報!$D$6=3,地域別用途別基準値!E72,IF(基本情報!$D$6=4,地域別用途別基準値!F72,IF(基本情報!$D$6=5,地域別用途別基準値!G72,IF(基本情報!$D$6=6,地域別用途別基準値!H72,IF(基本情報!$D$6=7,地域別用途別基準値!I72,IF(基本情報!$D$6=8,地域別用途別基準値!J72))))))))</f>
        <v>3.9</v>
      </c>
      <c r="L72">
        <v>3.9</v>
      </c>
      <c r="M72">
        <v>3.9</v>
      </c>
      <c r="N72">
        <v>3.9</v>
      </c>
      <c r="O72">
        <v>3.9</v>
      </c>
      <c r="P72">
        <v>3.9</v>
      </c>
      <c r="Q72">
        <v>3.9</v>
      </c>
      <c r="R72">
        <v>3.9</v>
      </c>
      <c r="S72">
        <v>3.9</v>
      </c>
    </row>
    <row r="73" spans="2:19">
      <c r="B73">
        <v>5</v>
      </c>
      <c r="C73" s="9">
        <f t="shared" si="43"/>
        <v>4.5</v>
      </c>
      <c r="D73" s="9">
        <f t="shared" si="44"/>
        <v>4.5</v>
      </c>
      <c r="E73" s="9">
        <f t="shared" si="45"/>
        <v>4.5</v>
      </c>
      <c r="F73" s="9">
        <f t="shared" si="46"/>
        <v>4.5</v>
      </c>
      <c r="G73" s="9">
        <f t="shared" si="47"/>
        <v>4.5</v>
      </c>
      <c r="H73" s="9">
        <f t="shared" si="48"/>
        <v>4.5</v>
      </c>
      <c r="I73" s="9">
        <f t="shared" si="49"/>
        <v>4.5</v>
      </c>
      <c r="J73" s="9">
        <f t="shared" si="50"/>
        <v>4.5</v>
      </c>
      <c r="K73" s="19">
        <f>IF(基本情報!$D$6=1,地域別用途別基準値!C73,IF(基本情報!$D$6=2,地域別用途別基準値!D73,IF(基本情報!$D$6=3,地域別用途別基準値!E73,IF(基本情報!$D$6=4,地域別用途別基準値!F73,IF(基本情報!$D$6=5,地域別用途別基準値!G73,IF(基本情報!$D$6=6,地域別用途別基準値!H73,IF(基本情報!$D$6=7,地域別用途別基準値!I73,IF(基本情報!$D$6=8,地域別用途別基準値!J73))))))))</f>
        <v>4.5</v>
      </c>
      <c r="L73">
        <v>4.4849999999999994</v>
      </c>
      <c r="M73">
        <v>4.4849999999999994</v>
      </c>
      <c r="N73">
        <v>4.4849999999999994</v>
      </c>
      <c r="O73">
        <v>4.4849999999999994</v>
      </c>
      <c r="P73">
        <v>4.4849999999999994</v>
      </c>
      <c r="Q73">
        <v>4.4849999999999994</v>
      </c>
      <c r="R73">
        <v>4.4849999999999994</v>
      </c>
      <c r="S73">
        <v>4.4849999999999994</v>
      </c>
    </row>
    <row r="74" spans="2:19">
      <c r="B74">
        <v>6</v>
      </c>
      <c r="C74" s="9">
        <f t="shared" si="43"/>
        <v>5.5</v>
      </c>
      <c r="D74" s="9">
        <f t="shared" si="44"/>
        <v>5.5</v>
      </c>
      <c r="E74" s="9">
        <f t="shared" si="45"/>
        <v>5.5</v>
      </c>
      <c r="F74" s="9">
        <f t="shared" si="46"/>
        <v>5.5</v>
      </c>
      <c r="G74" s="9">
        <f t="shared" si="47"/>
        <v>5.5</v>
      </c>
      <c r="H74" s="9">
        <f t="shared" si="48"/>
        <v>5.5</v>
      </c>
      <c r="I74" s="9">
        <f t="shared" si="49"/>
        <v>5.5</v>
      </c>
      <c r="J74" s="9">
        <f t="shared" si="50"/>
        <v>5.5</v>
      </c>
      <c r="K74" s="19">
        <f>IF(基本情報!$D$6=1,地域別用途別基準値!C74,IF(基本情報!$D$6=2,地域別用途別基準値!D74,IF(基本情報!$D$6=3,地域別用途別基準値!E74,IF(基本情報!$D$6=4,地域別用途別基準値!F74,IF(基本情報!$D$6=5,地域別用途別基準値!G74,IF(基本情報!$D$6=6,地域別用途別基準値!H74,IF(基本情報!$D$6=7,地域別用途別基準値!I74,IF(基本情報!$D$6=8,地域別用途別基準値!J74))))))))</f>
        <v>5.5</v>
      </c>
      <c r="L74">
        <v>5.46</v>
      </c>
      <c r="M74">
        <v>5.46</v>
      </c>
      <c r="N74">
        <v>5.46</v>
      </c>
      <c r="O74">
        <v>5.46</v>
      </c>
      <c r="P74">
        <v>5.46</v>
      </c>
      <c r="Q74">
        <v>5.46</v>
      </c>
      <c r="R74">
        <v>5.46</v>
      </c>
      <c r="S74">
        <v>5.46</v>
      </c>
    </row>
  </sheetData>
  <phoneticPr fontId="1"/>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0"/>
  <sheetViews>
    <sheetView topLeftCell="A25" workbookViewId="0">
      <selection activeCell="B54" sqref="B54"/>
    </sheetView>
  </sheetViews>
  <sheetFormatPr baseColWidth="12" defaultColWidth="8.83203125" defaultRowHeight="17" x14ac:dyDescent="0"/>
  <cols>
    <col min="1" max="1" width="44.33203125" customWidth="1"/>
    <col min="2" max="2" width="12.33203125" customWidth="1"/>
    <col min="3" max="3" width="14" customWidth="1"/>
    <col min="4" max="4" width="13.1640625" customWidth="1"/>
    <col min="5" max="5" width="16.33203125" customWidth="1"/>
    <col min="6" max="6" width="16.6640625" customWidth="1"/>
    <col min="7" max="7" width="14.5" customWidth="1"/>
    <col min="8" max="8" width="14" customWidth="1"/>
  </cols>
  <sheetData>
    <row r="1" spans="1:19">
      <c r="A1" s="4" t="s">
        <v>34</v>
      </c>
    </row>
    <row r="3" spans="1:19">
      <c r="A3" t="s">
        <v>1</v>
      </c>
      <c r="B3" s="1" t="s">
        <v>0</v>
      </c>
      <c r="C3">
        <v>3</v>
      </c>
      <c r="D3">
        <v>4</v>
      </c>
      <c r="E3">
        <v>5</v>
      </c>
      <c r="F3">
        <v>6</v>
      </c>
      <c r="G3">
        <v>7</v>
      </c>
      <c r="H3">
        <v>8</v>
      </c>
    </row>
    <row r="4" spans="1:19">
      <c r="A4" t="s">
        <v>13</v>
      </c>
      <c r="B4">
        <v>60.3</v>
      </c>
      <c r="C4">
        <v>31.7</v>
      </c>
      <c r="D4">
        <v>24.8</v>
      </c>
      <c r="E4">
        <v>20.5</v>
      </c>
      <c r="F4">
        <v>15.4</v>
      </c>
      <c r="G4">
        <v>7.9</v>
      </c>
      <c r="H4">
        <v>0</v>
      </c>
    </row>
    <row r="6" spans="1:19">
      <c r="A6" s="2" t="s">
        <v>16</v>
      </c>
      <c r="B6" s="453" t="s">
        <v>0</v>
      </c>
      <c r="C6" s="453"/>
      <c r="D6" s="453"/>
      <c r="E6" s="453">
        <v>3</v>
      </c>
      <c r="F6" s="453"/>
      <c r="G6" s="453"/>
      <c r="H6" s="453">
        <v>4</v>
      </c>
      <c r="I6" s="453"/>
      <c r="J6" s="453"/>
      <c r="K6" s="453">
        <v>5</v>
      </c>
      <c r="L6" s="453"/>
      <c r="M6" s="453"/>
      <c r="N6" s="453">
        <v>6</v>
      </c>
      <c r="O6" s="453"/>
      <c r="P6" s="453"/>
      <c r="Q6" s="453">
        <v>7</v>
      </c>
      <c r="R6" s="453"/>
      <c r="S6" s="453"/>
    </row>
    <row r="7" spans="1:19">
      <c r="A7" s="2"/>
      <c r="B7" s="2" t="s">
        <v>11</v>
      </c>
      <c r="C7" s="2" t="s">
        <v>12</v>
      </c>
      <c r="D7" s="2" t="s">
        <v>15</v>
      </c>
      <c r="E7" s="2" t="s">
        <v>11</v>
      </c>
      <c r="F7" s="2" t="s">
        <v>12</v>
      </c>
      <c r="G7" s="2" t="s">
        <v>15</v>
      </c>
      <c r="H7" s="2" t="s">
        <v>11</v>
      </c>
      <c r="I7" s="2" t="s">
        <v>12</v>
      </c>
      <c r="J7" s="2" t="s">
        <v>15</v>
      </c>
      <c r="K7" s="2" t="s">
        <v>11</v>
      </c>
      <c r="L7" s="2" t="s">
        <v>12</v>
      </c>
      <c r="M7" s="2" t="s">
        <v>15</v>
      </c>
      <c r="N7" s="2" t="s">
        <v>11</v>
      </c>
      <c r="O7" s="2" t="s">
        <v>12</v>
      </c>
      <c r="P7" s="2" t="s">
        <v>15</v>
      </c>
      <c r="Q7" s="2" t="s">
        <v>11</v>
      </c>
      <c r="R7" s="2" t="s">
        <v>12</v>
      </c>
      <c r="S7" s="2" t="s">
        <v>15</v>
      </c>
    </row>
    <row r="8" spans="1:19">
      <c r="A8" s="2" t="s">
        <v>500</v>
      </c>
      <c r="B8" s="2">
        <v>2.8</v>
      </c>
      <c r="C8" s="2">
        <v>1</v>
      </c>
      <c r="D8" s="2">
        <v>60.3</v>
      </c>
      <c r="E8" s="2">
        <v>4</v>
      </c>
      <c r="F8" s="20">
        <v>1</v>
      </c>
      <c r="G8" s="2">
        <v>31.7</v>
      </c>
      <c r="H8" s="2">
        <v>4.7</v>
      </c>
      <c r="I8" s="2">
        <v>1</v>
      </c>
      <c r="J8" s="2">
        <v>24.8</v>
      </c>
      <c r="K8" s="2">
        <v>5.2</v>
      </c>
      <c r="L8" s="2">
        <v>1</v>
      </c>
      <c r="M8" s="2">
        <v>20.5</v>
      </c>
      <c r="N8" s="2">
        <v>5.2</v>
      </c>
      <c r="O8" s="2">
        <v>1</v>
      </c>
      <c r="P8" s="2">
        <v>15.4</v>
      </c>
      <c r="Q8" s="2">
        <v>8.3000000000000007</v>
      </c>
      <c r="R8" s="2">
        <v>1</v>
      </c>
      <c r="S8" s="2">
        <v>7.9</v>
      </c>
    </row>
    <row r="9" spans="1:19">
      <c r="A9" s="2" t="s">
        <v>86</v>
      </c>
      <c r="B9" s="2">
        <v>1.8</v>
      </c>
      <c r="C9" s="2">
        <v>0.6</v>
      </c>
      <c r="D9" s="2">
        <v>36.18</v>
      </c>
      <c r="E9" s="2">
        <v>2.7</v>
      </c>
      <c r="F9" s="20">
        <v>0.8</v>
      </c>
      <c r="G9" s="2">
        <v>25.36</v>
      </c>
      <c r="H9" s="2">
        <v>3.3</v>
      </c>
      <c r="I9" s="2">
        <v>0.8</v>
      </c>
      <c r="J9" s="2">
        <v>19.840000000000003</v>
      </c>
      <c r="K9" s="2">
        <v>4.2</v>
      </c>
      <c r="L9" s="2">
        <v>0.8</v>
      </c>
      <c r="M9" s="2">
        <v>16.400000000000002</v>
      </c>
      <c r="N9" s="2">
        <v>4.2</v>
      </c>
      <c r="O9" s="2">
        <v>0.8</v>
      </c>
      <c r="P9" s="2">
        <v>12.32</v>
      </c>
      <c r="Q9" s="2">
        <v>4.5999999999999996</v>
      </c>
      <c r="R9" s="2">
        <v>0.8</v>
      </c>
      <c r="S9" s="2">
        <v>6.32</v>
      </c>
    </row>
    <row r="10" spans="1:19">
      <c r="A10" s="2" t="s">
        <v>87</v>
      </c>
      <c r="B10" s="2">
        <v>1.6</v>
      </c>
      <c r="C10" s="2">
        <v>0.4</v>
      </c>
      <c r="D10" s="3">
        <v>24.12</v>
      </c>
      <c r="E10" s="2">
        <v>1.9</v>
      </c>
      <c r="F10" s="20">
        <v>0.56000000000000005</v>
      </c>
      <c r="G10" s="2">
        <v>17.752000000000002</v>
      </c>
      <c r="H10" s="2">
        <v>2.4</v>
      </c>
      <c r="I10" s="2">
        <v>0.56000000000000005</v>
      </c>
      <c r="J10" s="2">
        <v>13.888000000000002</v>
      </c>
      <c r="K10" s="2">
        <v>2.7</v>
      </c>
      <c r="L10" s="2">
        <v>0.56000000000000005</v>
      </c>
      <c r="M10" s="2">
        <v>11.48</v>
      </c>
      <c r="N10" s="2">
        <v>2.7</v>
      </c>
      <c r="O10" s="2">
        <v>0.56000000000000005</v>
      </c>
      <c r="P10" s="2">
        <v>8.6240000000000006</v>
      </c>
      <c r="Q10" s="2">
        <v>2.7</v>
      </c>
      <c r="R10" s="2">
        <v>0.56000000000000005</v>
      </c>
      <c r="S10" s="2">
        <v>4.4240000000000004</v>
      </c>
    </row>
    <row r="11" spans="1:19">
      <c r="A11" s="2" t="s">
        <v>88</v>
      </c>
      <c r="B11" s="2">
        <v>1</v>
      </c>
      <c r="C11" s="2">
        <v>0.3</v>
      </c>
      <c r="D11" s="2">
        <v>18.09</v>
      </c>
      <c r="E11" s="2">
        <v>1.2</v>
      </c>
      <c r="F11" s="20">
        <v>0.28000000000000003</v>
      </c>
      <c r="G11" s="2">
        <v>13.948</v>
      </c>
      <c r="H11" s="2">
        <v>1.6</v>
      </c>
      <c r="I11" s="2">
        <v>0.44</v>
      </c>
      <c r="J11" s="2">
        <v>10.912000000000001</v>
      </c>
      <c r="K11" s="2">
        <v>1.9</v>
      </c>
      <c r="L11" s="2">
        <v>0.44</v>
      </c>
      <c r="M11" s="2">
        <v>9.02</v>
      </c>
      <c r="N11" s="2">
        <v>1.9</v>
      </c>
      <c r="O11" s="2">
        <v>0.44</v>
      </c>
      <c r="P11" s="2">
        <v>6.7759999999999998</v>
      </c>
      <c r="Q11" s="2">
        <v>1.9</v>
      </c>
      <c r="R11" s="2">
        <v>0.44</v>
      </c>
      <c r="S11" s="2">
        <v>3.476</v>
      </c>
    </row>
    <row r="12" spans="1:19">
      <c r="F12" t="s">
        <v>136</v>
      </c>
    </row>
    <row r="13" spans="1:19">
      <c r="A13">
        <f>IF(暖房!$D$6=1,計算過程!D8,IF(暖房!$D$6=2,計算過程!D8,IF(暖房!$D$6=3,計算過程!G8,IF(暖房!$D$6=4,計算過程!J8,IF(暖房!$D$6=5,計算過程!M8,IF(暖房!D$6=6,計算過程!P8,IF(暖房!D6=7,計算過程!S8,IF(暖房!$D$6=8,0))))))))</f>
        <v>15.4</v>
      </c>
      <c r="C13">
        <f>IF(暖房!$D$6=1,計算過程!D8,IF(暖房!$D$6=2,計算過程!D8,IF(暖房!$D$6=3,計算過程!G8,IF(暖房!$D$6=4,計算過程!J8,IF(暖房!$D$6=5,計算過程!M8,IF(暖房!D$6=6,計算過程!P8,IF(暖房!D6=7,計算過程!S8,IF(暖房!$D$6=8,0))))))))</f>
        <v>15.4</v>
      </c>
      <c r="D13" s="450" t="s">
        <v>85</v>
      </c>
      <c r="E13" s="451"/>
      <c r="F13">
        <v>1</v>
      </c>
    </row>
    <row r="14" spans="1:19">
      <c r="A14">
        <f>IF(暖房!$D$6=1,計算過程!D9,IF(暖房!$D$6=2,計算過程!D9,IF(暖房!$D$6=3,計算過程!G9,IF(暖房!$D$6=4,計算過程!J9,IF(暖房!$D$6=5,計算過程!M9,IF(暖房!D$6=6,計算過程!P9,IF(暖房!D6=7,計算過程!S9,IF(暖房!$D$6=8,0))))))))</f>
        <v>12.32</v>
      </c>
      <c r="C14">
        <f>IF(暖房!$D$6=1,計算過程!D9,IF(暖房!$D$6=2,計算過程!D9,IF(暖房!$D$6=3,計算過程!G9,IF(暖房!$D$6=4,計算過程!J9,IF(暖房!$D$6=5,計算過程!M9,IF(暖房!D$6=6,計算過程!P9,IF(暖房!D6=7,計算過程!S9,IF(暖房!$D$6=8,0))))))))</f>
        <v>12.32</v>
      </c>
      <c r="D14" s="452" t="s">
        <v>86</v>
      </c>
      <c r="E14" s="451"/>
      <c r="F14">
        <f>IF(基本情報!$D$6=1,計算過程!C9,IF(基本情報!$D$6=2,計算過程!C9,計算過程!F9))</f>
        <v>0.8</v>
      </c>
    </row>
    <row r="15" spans="1:19">
      <c r="A15">
        <f>IF(暖房!$D$6=1,計算過程!D10,IF(暖房!$D$6=2,計算過程!D10,IF(暖房!$D$6=3,計算過程!G10,IF(暖房!$D$6=4,計算過程!J10,IF(暖房!$D$6=5,計算過程!M10,IF(暖房!D$6=6,計算過程!P10,IF(暖房!D6=7,計算過程!S10,IF(暖房!$D$6=8,0))))))))</f>
        <v>8.6240000000000006</v>
      </c>
      <c r="C15">
        <f>IF(暖房!$D$6=1,計算過程!D10,IF(暖房!$D$6=2,計算過程!D10,IF(暖房!$D$6=3,計算過程!G10,IF(暖房!$D$6=4,計算過程!J10,IF(暖房!$D$6=5,計算過程!M10,IF(暖房!D$6=6,計算過程!P10,IF(暖房!D6=7,計算過程!S10,IF(暖房!$D$6=8,0))))))))</f>
        <v>8.6240000000000006</v>
      </c>
      <c r="D15" s="452" t="s">
        <v>87</v>
      </c>
      <c r="E15" s="451"/>
      <c r="F15">
        <f>IF(基本情報!$D$6=1,計算過程!C10,IF(基本情報!$D$6=2,計算過程!C10,計算過程!F10))</f>
        <v>0.56000000000000005</v>
      </c>
    </row>
    <row r="16" spans="1:19">
      <c r="A16">
        <f>IF(暖房!$D$6=1,計算過程!D11,IF(暖房!$D$6=2,計算過程!D11,IF(暖房!$D$6=3,計算過程!G11,IF(暖房!$D$6=4,計算過程!J11,IF(暖房!$D$6=5,計算過程!M11,IF(暖房!D$6=6,計算過程!P11,IF(暖房!D6=7,計算過程!S11,IF(暖房!$D$6=8,0))))))))</f>
        <v>6.7759999999999998</v>
      </c>
      <c r="C16">
        <f>IF(暖房!$D$6=1,計算過程!D11,IF(暖房!$D$6=2,計算過程!D11,IF(暖房!$D$6=3,計算過程!G11,IF(暖房!$D$6=4,計算過程!J11,IF(暖房!$D$6=5,計算過程!M11,IF(暖房!D$6=6,計算過程!P11,IF(暖房!D6=7,計算過程!S11,IF(暖房!$D$6=8,0))))))))</f>
        <v>6.7759999999999998</v>
      </c>
      <c r="D16" s="452" t="s">
        <v>88</v>
      </c>
      <c r="E16" s="451"/>
      <c r="F16">
        <f>IF(基本情報!$D$6=1,計算過程!C11,IF(基本情報!$D$6=2,計算過程!C11,計算過程!F11))</f>
        <v>0.28000000000000003</v>
      </c>
    </row>
    <row r="18" spans="1:7">
      <c r="A18" t="s">
        <v>501</v>
      </c>
      <c r="C18">
        <v>1</v>
      </c>
    </row>
    <row r="19" spans="1:7">
      <c r="A19" t="s">
        <v>399</v>
      </c>
      <c r="C19">
        <v>0.93</v>
      </c>
    </row>
    <row r="20" spans="1:7">
      <c r="A20" t="s">
        <v>160</v>
      </c>
      <c r="C20">
        <v>1.2</v>
      </c>
    </row>
    <row r="21" spans="1:7">
      <c r="A21" t="s">
        <v>177</v>
      </c>
      <c r="C21">
        <v>1.2</v>
      </c>
    </row>
    <row r="22" spans="1:7">
      <c r="A22" t="s">
        <v>162</v>
      </c>
      <c r="C22">
        <v>1.2</v>
      </c>
    </row>
    <row r="23" spans="1:7">
      <c r="A23" t="s">
        <v>18</v>
      </c>
      <c r="C23">
        <v>1.8</v>
      </c>
    </row>
    <row r="24" spans="1:7">
      <c r="A24" t="s">
        <v>163</v>
      </c>
      <c r="C24">
        <v>2</v>
      </c>
    </row>
    <row r="25" spans="1:7">
      <c r="A25" t="s">
        <v>178</v>
      </c>
      <c r="C25">
        <v>2</v>
      </c>
    </row>
    <row r="26" spans="1:7">
      <c r="A26" t="s">
        <v>165</v>
      </c>
      <c r="C26">
        <v>2</v>
      </c>
    </row>
    <row r="27" spans="1:7">
      <c r="A27" t="s">
        <v>19</v>
      </c>
      <c r="C27">
        <v>1.4</v>
      </c>
    </row>
    <row r="28" spans="1:7">
      <c r="A28" t="s">
        <v>20</v>
      </c>
      <c r="C28">
        <v>1.5</v>
      </c>
    </row>
    <row r="29" spans="1:7">
      <c r="A29" t="s">
        <v>21</v>
      </c>
      <c r="C29">
        <v>0.66</v>
      </c>
      <c r="D29" s="453" t="s">
        <v>141</v>
      </c>
      <c r="E29" s="453"/>
      <c r="F29" s="453"/>
      <c r="G29" s="453"/>
    </row>
    <row r="30" spans="1:7">
      <c r="A30" t="s">
        <v>166</v>
      </c>
      <c r="C30">
        <v>0.7</v>
      </c>
      <c r="D30" s="2" t="s">
        <v>139</v>
      </c>
      <c r="E30" s="2">
        <v>0.45</v>
      </c>
      <c r="F30" s="2" t="s">
        <v>140</v>
      </c>
      <c r="G30" s="2">
        <v>0.248</v>
      </c>
    </row>
    <row r="31" spans="1:7">
      <c r="A31" t="s">
        <v>179</v>
      </c>
      <c r="C31">
        <v>0.7</v>
      </c>
    </row>
    <row r="32" spans="1:7">
      <c r="A32" t="s">
        <v>168</v>
      </c>
      <c r="C32">
        <v>0.7</v>
      </c>
    </row>
    <row r="33" spans="1:4">
      <c r="A33" t="s">
        <v>22</v>
      </c>
      <c r="C33">
        <v>0.88</v>
      </c>
    </row>
    <row r="34" spans="1:4">
      <c r="A34" t="s">
        <v>23</v>
      </c>
      <c r="C34">
        <v>0.2</v>
      </c>
    </row>
    <row r="35" spans="1:4">
      <c r="A35" t="s">
        <v>24</v>
      </c>
      <c r="C35">
        <v>0.8</v>
      </c>
    </row>
    <row r="37" spans="1:4">
      <c r="A37" s="1" t="s">
        <v>32</v>
      </c>
      <c r="B37">
        <f>IF(暖房!D17="エアコン（2005年以前）＜標準＞",計算過程!$C$18,IF(暖房!D17="エアコン（2005年以降）",計算過程!$C$19,IF(暖房!D17="ファンヒーター（都市ガス）",計算過程!$C$20,IF(暖房!D17="ファンヒーター（LPガス）",C21,IF(暖房!D17="ファンヒーター（灯油）",C22,IF(暖房!D17="電気床暖房",計算過程!$C$23,IF(暖房!D17="温水床暖房（都市ガス）",計算過程!$C$24,IF(暖房!D17="温水床暖房（LPガス）",C25,IF(暖房!D17="温水床暖房（灯油）",C26,IF(暖房!D17="温水床暖房（HP）",計算過程!$C$27,IF(暖房!D17="エアコン＋電気カーペット/オイルヒーター",計算過程!$C$28,IF(暖房!D17="エアコン＋こたつ",計算過程!$C$29,IF(暖房!D17="ファンヒーター（都市ガス）＋こたつ",計算過程!$C$30,IF(暖房!D17="ファンヒーター（LPガス）＋こたつ",C31,IF(暖房!D17="ファンヒーター（灯油）＋こたつ",C32,IF(暖房!D17="エアコン＋薪ストーブ（週末のみ）",計算過程!$C$33,IF(暖房!D17="薪ストーブ（全日、主居室のみ）",計算過程!$C$34,IF(暖房!D17="ペレットストーブ",計算過程!$C$35))))))))))))))))))</f>
        <v>1</v>
      </c>
      <c r="D37">
        <f>IF(暖房!G17="エアコン（2005年以前）＜標準＞",計算過程!$C$18,IF(暖房!G17="エアコン（2005年以降）",計算過程!$C$19,IF(暖房!G17="ファンヒーター（都市ガス）",計算過程!$C$20,IF(暖房!G17="ファンヒーター（LPガス）",C21,IF(暖房!G17="ファンヒーター（灯油）",C22,IF(暖房!G17="電気床暖房",計算過程!$C$23,IF(暖房!G17="温水床暖房（都市ガス）",計算過程!$C$24,IF(暖房!G17="温水床暖房（LPガス）",C25,IF(暖房!G17="温水床暖房（灯油）",C26,IF(暖房!G17="温水床暖房（HP）",計算過程!$C$27,IF(暖房!G17="エアコン＋電気カーペット/オイルヒーター",計算過程!$C$28,IF(暖房!G17="エアコン＋こたつ",計算過程!$C$29,IF(暖房!G17="ファンヒーター（都市ガス）＋こたつ",計算過程!$C$30,IF(暖房!G17="ファンヒーター（LPガス）＋こたつ",C31,IF(暖房!G17="ファンヒーター（灯油）＋こたつ",C32,IF(暖房!G17="エアコン＋薪ストーブ（週末のみ）",計算過程!$C$33,IF(暖房!G17="薪ストーブ（全日、主居室のみ）",計算過程!$C$34,IF(暖房!G17="ペレットストーブ",計算過程!$C$35))))))))))))))))))</f>
        <v>0.93</v>
      </c>
    </row>
    <row r="38" spans="1:4">
      <c r="A38" s="1" t="s">
        <v>33</v>
      </c>
      <c r="B38">
        <f>D37</f>
        <v>0.93</v>
      </c>
    </row>
    <row r="40" spans="1:4">
      <c r="A40" t="s">
        <v>189</v>
      </c>
    </row>
    <row r="41" spans="1:4">
      <c r="A41" t="s">
        <v>502</v>
      </c>
      <c r="B41" s="1" t="s">
        <v>32</v>
      </c>
      <c r="C41">
        <f>IF(暖房!D15="晴れた日でもレースカーテンなどを閉める＜標準＞",1,0.94)</f>
        <v>1</v>
      </c>
    </row>
    <row r="42" spans="1:4">
      <c r="A42" t="s">
        <v>439</v>
      </c>
      <c r="B42" s="1" t="s">
        <v>33</v>
      </c>
      <c r="C42">
        <f>IF(暖房!G15="晴れた日でもレースカーテンなどを閉める＜標準＞",1,0.94)</f>
        <v>0.94</v>
      </c>
    </row>
    <row r="45" spans="1:4">
      <c r="A45" t="s">
        <v>190</v>
      </c>
    </row>
    <row r="46" spans="1:4">
      <c r="A46" t="s">
        <v>503</v>
      </c>
      <c r="B46">
        <v>1</v>
      </c>
    </row>
    <row r="47" spans="1:4">
      <c r="A47" t="s">
        <v>91</v>
      </c>
      <c r="B47">
        <v>0.95</v>
      </c>
    </row>
    <row r="48" spans="1:4">
      <c r="A48" t="s">
        <v>92</v>
      </c>
      <c r="B48">
        <v>0.94</v>
      </c>
    </row>
    <row r="49" spans="1:6">
      <c r="A49" t="s">
        <v>93</v>
      </c>
      <c r="B49">
        <v>0.92</v>
      </c>
    </row>
    <row r="50" spans="1:6">
      <c r="A50" t="s">
        <v>94</v>
      </c>
      <c r="B50">
        <v>0.9</v>
      </c>
    </row>
    <row r="51" spans="1:6">
      <c r="A51" t="s">
        <v>26</v>
      </c>
      <c r="B51">
        <v>0.95</v>
      </c>
    </row>
    <row r="53" spans="1:6">
      <c r="A53" s="1" t="s">
        <v>32</v>
      </c>
      <c r="B53">
        <f>IF(暖房!D10="S55基準レベル＜標準＞",計算過程!F53,1)</f>
        <v>0.94</v>
      </c>
      <c r="E53" s="1" t="s">
        <v>32</v>
      </c>
      <c r="F53">
        <f>IF(暖房!D13="なし＜標準＞",計算過程!$B$46,IF(暖房!D13="カーテン（床まで垂らすorカーテンボックス）",計算過程!$B$47,IF(暖房!D13="カーテン（床まで垂らすandカーテンボックス）",計算過程!$B$48,IF(暖房!D13="障子",計算過程!$B$49,IF(暖房!D13="ハニカムスクリーン（シングル）",計算過程!$B$50,IF(暖房!D13="雨戸/シャッター",計算過程!$B$51))))))</f>
        <v>0.94</v>
      </c>
    </row>
    <row r="54" spans="1:6">
      <c r="A54" s="1" t="s">
        <v>33</v>
      </c>
      <c r="B54">
        <f>IF(暖房!G10="S55基準レベル＜標準＞",計算過程!F54,1)</f>
        <v>1</v>
      </c>
      <c r="E54" s="1" t="s">
        <v>33</v>
      </c>
      <c r="F54">
        <f>IF(暖房!G13="なし＜標準＞",計算過程!$B$46,IF(暖房!G13="カーテン（床まで垂らすorカーテンボックス）",計算過程!$B$47,IF(暖房!G13="カーテン（床まで垂らすandカーテンボックス）",計算過程!$B$48,IF(暖房!G13="障子",計算過程!$B$49,IF(暖房!G13="ハニカムスクリーン（シングル）",計算過程!$B$50,IF(暖房!G13="雨戸/シャッター",計算過程!$B$51))))))</f>
        <v>0.95</v>
      </c>
    </row>
    <row r="56" spans="1:6">
      <c r="A56" t="s">
        <v>437</v>
      </c>
    </row>
    <row r="57" spans="1:6">
      <c r="A57" t="s">
        <v>504</v>
      </c>
      <c r="B57">
        <v>1</v>
      </c>
    </row>
    <row r="58" spans="1:6">
      <c r="A58" t="s">
        <v>449</v>
      </c>
      <c r="B58">
        <v>0.85</v>
      </c>
    </row>
    <row r="60" spans="1:6">
      <c r="A60" s="1" t="s">
        <v>32</v>
      </c>
      <c r="B60">
        <f>IF(暖房!D16="寝るまでの夜間に子供が個室で過ごす＜標準＞",計算過程!$B$57,計算過程!$B$58)</f>
        <v>1</v>
      </c>
    </row>
    <row r="61" spans="1:6">
      <c r="A61" s="1" t="s">
        <v>33</v>
      </c>
      <c r="B61">
        <f>IF(暖房!G16="寝るまでの夜間に子供が個室で過ごす＜標準＞",計算過程!$B$57,計算過程!$B$58)</f>
        <v>0.85</v>
      </c>
    </row>
    <row r="63" spans="1:6">
      <c r="A63" t="s">
        <v>441</v>
      </c>
    </row>
    <row r="64" spans="1:6">
      <c r="A64" t="s">
        <v>442</v>
      </c>
      <c r="B64">
        <v>1.22</v>
      </c>
    </row>
    <row r="65" spans="1:2">
      <c r="A65" t="s">
        <v>505</v>
      </c>
      <c r="B65">
        <v>1</v>
      </c>
    </row>
    <row r="66" spans="1:2">
      <c r="A66" t="s">
        <v>443</v>
      </c>
      <c r="B66">
        <v>0.79</v>
      </c>
    </row>
    <row r="67" spans="1:2">
      <c r="A67" t="s">
        <v>444</v>
      </c>
      <c r="B67">
        <v>0.6</v>
      </c>
    </row>
    <row r="69" spans="1:2">
      <c r="A69" s="1" t="s">
        <v>32</v>
      </c>
      <c r="B69">
        <f>IF(暖房!D18="24℃",計算過程!B64,IF(暖房!D18="22℃＜標準＞",計算過程!B65,IF(暖房!D18="20℃",計算過程!B66,IF(暖房!D18="18℃",計算過程!B67))))</f>
        <v>1</v>
      </c>
    </row>
    <row r="70" spans="1:2">
      <c r="A70" s="1" t="s">
        <v>33</v>
      </c>
      <c r="B70">
        <f>IF(暖房!G18="24℃",計算過程!B64,IF(暖房!G18="22℃＜標準＞",計算過程!B65,IF(暖房!G18="20℃",計算過程!B66,IF(暖房!G18="18℃",計算過程!B67))))</f>
        <v>0.79</v>
      </c>
    </row>
    <row r="72" spans="1:2">
      <c r="A72" t="s">
        <v>191</v>
      </c>
    </row>
    <row r="73" spans="1:2">
      <c r="A73" t="s">
        <v>28</v>
      </c>
      <c r="B73">
        <v>0.8</v>
      </c>
    </row>
    <row r="74" spans="1:2">
      <c r="A74" t="s">
        <v>506</v>
      </c>
      <c r="B74">
        <v>1</v>
      </c>
    </row>
    <row r="76" spans="1:2">
      <c r="A76" s="1" t="s">
        <v>32</v>
      </c>
      <c r="B76">
        <f>IF(暖房!D19="評価あり",計算過程!$B$73,計算過程!$B$74)</f>
        <v>1</v>
      </c>
    </row>
    <row r="77" spans="1:2">
      <c r="A77" s="1" t="s">
        <v>33</v>
      </c>
      <c r="B77">
        <f>IF(暖房!G19="評価あり",計算過程!$B$73,計算過程!$B$74)</f>
        <v>1</v>
      </c>
    </row>
    <row r="79" spans="1:2">
      <c r="A79" s="4" t="s">
        <v>35</v>
      </c>
    </row>
    <row r="81" spans="1:8">
      <c r="A81" t="s">
        <v>1</v>
      </c>
      <c r="B81" s="1" t="s">
        <v>0</v>
      </c>
      <c r="C81">
        <v>3</v>
      </c>
      <c r="D81">
        <v>4</v>
      </c>
      <c r="E81">
        <v>5</v>
      </c>
      <c r="F81">
        <v>6</v>
      </c>
      <c r="G81">
        <v>7</v>
      </c>
      <c r="H81">
        <v>8</v>
      </c>
    </row>
    <row r="82" spans="1:8">
      <c r="A82" t="s">
        <v>13</v>
      </c>
      <c r="B82">
        <v>0</v>
      </c>
      <c r="C82">
        <v>0.8</v>
      </c>
      <c r="D82">
        <v>1.5</v>
      </c>
      <c r="E82">
        <v>1.6</v>
      </c>
      <c r="F82">
        <v>3.9</v>
      </c>
      <c r="G82">
        <v>4.7</v>
      </c>
      <c r="H82">
        <v>9.1999999999999993</v>
      </c>
    </row>
    <row r="84" spans="1:8">
      <c r="A84" t="s">
        <v>409</v>
      </c>
    </row>
    <row r="85" spans="1:8">
      <c r="A85" t="s">
        <v>408</v>
      </c>
    </row>
    <row r="87" spans="1:8">
      <c r="A87" t="s">
        <v>410</v>
      </c>
    </row>
    <row r="88" spans="1:8">
      <c r="B88" s="135"/>
      <c r="C88" s="136"/>
      <c r="D88" s="136"/>
    </row>
    <row r="89" spans="1:8">
      <c r="A89" t="s">
        <v>401</v>
      </c>
    </row>
    <row r="90" spans="1:8">
      <c r="A90" t="s">
        <v>402</v>
      </c>
    </row>
    <row r="91" spans="1:8">
      <c r="A91" t="s">
        <v>403</v>
      </c>
    </row>
    <row r="92" spans="1:8">
      <c r="A92" t="s">
        <v>404</v>
      </c>
    </row>
    <row r="94" spans="1:8">
      <c r="A94" t="s">
        <v>405</v>
      </c>
    </row>
    <row r="95" spans="1:8">
      <c r="A95" t="s">
        <v>406</v>
      </c>
    </row>
    <row r="96" spans="1:8">
      <c r="A96" t="s">
        <v>407</v>
      </c>
    </row>
    <row r="99" spans="1:2">
      <c r="A99" t="s">
        <v>411</v>
      </c>
      <c r="B99">
        <v>1.49</v>
      </c>
    </row>
    <row r="100" spans="1:2">
      <c r="A100" t="s">
        <v>412</v>
      </c>
      <c r="B100">
        <v>1</v>
      </c>
    </row>
    <row r="101" spans="1:2">
      <c r="A101" t="s">
        <v>417</v>
      </c>
      <c r="B101">
        <v>0.32</v>
      </c>
    </row>
    <row r="102" spans="1:2">
      <c r="A102" t="s">
        <v>413</v>
      </c>
      <c r="B102">
        <v>1.34</v>
      </c>
    </row>
    <row r="103" spans="1:2">
      <c r="A103" t="s">
        <v>414</v>
      </c>
      <c r="B103">
        <v>0.9</v>
      </c>
    </row>
    <row r="104" spans="1:2">
      <c r="A104" t="s">
        <v>418</v>
      </c>
      <c r="B104">
        <v>0.28999999999999998</v>
      </c>
    </row>
    <row r="105" spans="1:2">
      <c r="A105" t="s">
        <v>415</v>
      </c>
      <c r="B105">
        <v>1.1000000000000001</v>
      </c>
    </row>
    <row r="106" spans="1:2">
      <c r="A106" t="s">
        <v>416</v>
      </c>
      <c r="B106">
        <v>0.79</v>
      </c>
    </row>
    <row r="107" spans="1:2">
      <c r="A107" t="s">
        <v>419</v>
      </c>
      <c r="B107">
        <v>0.25</v>
      </c>
    </row>
    <row r="108" spans="1:2">
      <c r="A108" t="s">
        <v>420</v>
      </c>
      <c r="B108">
        <v>1.1000000000000001</v>
      </c>
    </row>
    <row r="109" spans="1:2">
      <c r="A109" t="s">
        <v>421</v>
      </c>
      <c r="B109">
        <v>0.79</v>
      </c>
    </row>
    <row r="110" spans="1:2">
      <c r="A110" t="s">
        <v>422</v>
      </c>
      <c r="B110">
        <v>0.25</v>
      </c>
    </row>
    <row r="111" spans="1:2">
      <c r="A111" t="s">
        <v>423</v>
      </c>
      <c r="B111">
        <v>0.98</v>
      </c>
    </row>
    <row r="112" spans="1:2">
      <c r="A112" t="s">
        <v>424</v>
      </c>
      <c r="B112">
        <v>0.66</v>
      </c>
    </row>
    <row r="113" spans="1:2">
      <c r="A113" t="s">
        <v>425</v>
      </c>
      <c r="B113">
        <v>0.21</v>
      </c>
    </row>
    <row r="114" spans="1:2">
      <c r="A114" t="s">
        <v>426</v>
      </c>
      <c r="B114">
        <v>0.88</v>
      </c>
    </row>
    <row r="115" spans="1:2">
      <c r="A115" t="s">
        <v>427</v>
      </c>
      <c r="B115">
        <v>0.59</v>
      </c>
    </row>
    <row r="116" spans="1:2">
      <c r="A116" t="s">
        <v>428</v>
      </c>
      <c r="B116">
        <v>0.19</v>
      </c>
    </row>
    <row r="117" spans="1:2">
      <c r="A117" t="s">
        <v>429</v>
      </c>
      <c r="B117">
        <v>0.73</v>
      </c>
    </row>
    <row r="118" spans="1:2">
      <c r="A118" t="s">
        <v>430</v>
      </c>
      <c r="B118">
        <v>0.52</v>
      </c>
    </row>
    <row r="119" spans="1:2">
      <c r="A119" t="s">
        <v>431</v>
      </c>
      <c r="B119">
        <v>0.17</v>
      </c>
    </row>
    <row r="120" spans="1:2">
      <c r="A120" t="s">
        <v>432</v>
      </c>
      <c r="B120">
        <v>0.45</v>
      </c>
    </row>
    <row r="121" spans="1:2">
      <c r="A121" t="s">
        <v>433</v>
      </c>
      <c r="B121">
        <v>0.33</v>
      </c>
    </row>
    <row r="122" spans="1:2">
      <c r="A122" t="s">
        <v>434</v>
      </c>
      <c r="B122">
        <v>0.12</v>
      </c>
    </row>
    <row r="124" spans="1:2">
      <c r="A124" s="1" t="s">
        <v>435</v>
      </c>
      <c r="B124" t="str">
        <f>冷房!C10&amp;冷房!C11&amp;冷房!C12</f>
        <v>庇なしシングルガラスレースカーテン</v>
      </c>
    </row>
    <row r="125" spans="1:2">
      <c r="A125" s="1" t="s">
        <v>436</v>
      </c>
      <c r="B125" t="str">
        <f>冷房!F10&amp;冷房!F11&amp;冷房!F12</f>
        <v>庇なしLow-E取得外付ブラインド等</v>
      </c>
    </row>
    <row r="127" spans="1:2">
      <c r="A127" s="1" t="s">
        <v>32</v>
      </c>
      <c r="B127">
        <f>VLOOKUP(B124,$A$99:$B$122,2,FALSE)</f>
        <v>1</v>
      </c>
    </row>
    <row r="128" spans="1:2">
      <c r="A128" s="1" t="s">
        <v>33</v>
      </c>
      <c r="B128">
        <f>VLOOKUP(B125,$A$99:$B$122,2,FALSE)</f>
        <v>0.25</v>
      </c>
    </row>
    <row r="129" spans="1:2">
      <c r="A129" s="1"/>
    </row>
    <row r="130" spans="1:2">
      <c r="A130" t="s">
        <v>507</v>
      </c>
      <c r="B130">
        <v>1</v>
      </c>
    </row>
    <row r="131" spans="1:2">
      <c r="A131" t="s">
        <v>446</v>
      </c>
      <c r="B131">
        <v>0.96</v>
      </c>
    </row>
    <row r="132" spans="1:2">
      <c r="A132" t="s">
        <v>447</v>
      </c>
      <c r="B132">
        <v>0.91</v>
      </c>
    </row>
    <row r="134" spans="1:2">
      <c r="A134" s="1" t="s">
        <v>32</v>
      </c>
      <c r="B134">
        <f>IF(冷房!C13="悪い/風を通さない＜標準＞",計算過程!$B$130,IF(冷房!C13="小～中程度の２つの窓で風を通す",計算過程!$B$131,IF(冷房!C13="２つの掃出し窓で風を通す",計算過程!$B$132)))</f>
        <v>0.96</v>
      </c>
    </row>
    <row r="135" spans="1:2">
      <c r="A135" s="1" t="s">
        <v>33</v>
      </c>
      <c r="B135">
        <f>IF(冷房!F13="悪い/風を通さない＜標準＞",計算過程!$B$130,IF(冷房!F13="小～中程度の２つの窓で風を通す",計算過程!$B$131,IF(冷房!F13="２つの掃出し窓で風を通す",計算過程!$B$132)))</f>
        <v>0.91</v>
      </c>
    </row>
    <row r="137" spans="1:2">
      <c r="A137" t="s">
        <v>504</v>
      </c>
      <c r="B137">
        <v>1</v>
      </c>
    </row>
    <row r="138" spans="1:2">
      <c r="A138" t="s">
        <v>449</v>
      </c>
      <c r="B138">
        <v>0.79</v>
      </c>
    </row>
    <row r="140" spans="1:2">
      <c r="A140" s="1" t="s">
        <v>32</v>
      </c>
      <c r="B140">
        <f>IF(冷房!C14="寝るまでの夜間に子供が個室で過ごす＜標準＞",計算過程!B137,B138)</f>
        <v>1</v>
      </c>
    </row>
    <row r="141" spans="1:2">
      <c r="A141" s="1" t="s">
        <v>33</v>
      </c>
      <c r="B141">
        <f>IF(冷房!F14="寝るまでの夜間に子供が個室で過ごす＜標準＞",計算過程!B137,B138)</f>
        <v>0.79</v>
      </c>
    </row>
    <row r="143" spans="1:2">
      <c r="A143" t="s">
        <v>450</v>
      </c>
      <c r="B143">
        <v>1.21</v>
      </c>
    </row>
    <row r="144" spans="1:2">
      <c r="A144" t="s">
        <v>451</v>
      </c>
      <c r="B144">
        <v>1.1100000000000001</v>
      </c>
    </row>
    <row r="145" spans="1:2">
      <c r="A145" t="s">
        <v>508</v>
      </c>
      <c r="B145">
        <v>1</v>
      </c>
    </row>
    <row r="146" spans="1:2">
      <c r="A146" t="s">
        <v>452</v>
      </c>
      <c r="B146">
        <v>0.9</v>
      </c>
    </row>
    <row r="148" spans="1:2">
      <c r="A148" s="1" t="s">
        <v>32</v>
      </c>
      <c r="B148">
        <f>IF(冷房!C15="26℃",計算過程!$B$143,IF(冷房!C15="27℃",計算過程!$B$144,IF(冷房!C15="28℃＜標準＞",計算過程!$B$145,計算過程!$B$146)))</f>
        <v>1</v>
      </c>
    </row>
    <row r="149" spans="1:2">
      <c r="A149" s="1" t="s">
        <v>33</v>
      </c>
      <c r="B149">
        <f>IF(冷房!F15="26℃",計算過程!$B$143,IF(冷房!F15="27℃",計算過程!$B$144,IF(冷房!F15="28℃＜標準＞",計算過程!$B$145,計算過程!$B$146)))</f>
        <v>1</v>
      </c>
    </row>
    <row r="150" spans="1:2">
      <c r="A150" s="1"/>
    </row>
    <row r="151" spans="1:2">
      <c r="A151" t="s">
        <v>501</v>
      </c>
      <c r="B151">
        <v>1</v>
      </c>
    </row>
    <row r="152" spans="1:2">
      <c r="A152" t="s">
        <v>399</v>
      </c>
      <c r="B152">
        <v>0.9</v>
      </c>
    </row>
    <row r="153" spans="1:2">
      <c r="A153" t="s">
        <v>454</v>
      </c>
      <c r="B153">
        <v>0.95</v>
      </c>
    </row>
    <row r="154" spans="1:2">
      <c r="A154" t="s">
        <v>455</v>
      </c>
      <c r="B154">
        <v>0.85</v>
      </c>
    </row>
    <row r="155" spans="1:2">
      <c r="A155" t="s">
        <v>456</v>
      </c>
      <c r="B155">
        <v>0.27</v>
      </c>
    </row>
    <row r="157" spans="1:2">
      <c r="A157" s="1" t="s">
        <v>32</v>
      </c>
      <c r="B157">
        <f>IF(冷房!C16="エアコン（2005年以前）＜標準＞",計算過程!$B$151,IF(冷房!C16="エアコン（2005年以降）",計算過程!$B$152,IF(冷房!C16="エアコン（2005年以前）＋扇風機",計算過程!$B$153,IF(冷房!C16="エアコン（2005年以降）＋扇風機",計算過程!$B$154,計算過程!$B$155))))</f>
        <v>1</v>
      </c>
    </row>
    <row r="158" spans="1:2">
      <c r="A158" s="1" t="s">
        <v>33</v>
      </c>
      <c r="B158">
        <f>IF(冷房!F16="エアコン（2005年以前）＜標準＞",計算過程!$B$151,IF(冷房!F16="エアコン（2005年以降）",計算過程!$B$152,IF(冷房!F16="エアコン（2005年以前）＋扇風機",計算過程!$B$153,IF(冷房!F16="エアコン（2005年以降）＋扇風機",計算過程!$B$154,計算過程!$B$155))))</f>
        <v>0.85</v>
      </c>
    </row>
    <row r="159" spans="1:2">
      <c r="A159" s="1"/>
    </row>
    <row r="160" spans="1:2">
      <c r="A160" s="4" t="s">
        <v>4</v>
      </c>
    </row>
    <row r="162" spans="1:4">
      <c r="A162" t="s">
        <v>39</v>
      </c>
      <c r="B162">
        <v>2.56</v>
      </c>
    </row>
    <row r="163" spans="1:4">
      <c r="A163" t="s">
        <v>510</v>
      </c>
      <c r="B163">
        <v>1</v>
      </c>
    </row>
    <row r="164" spans="1:4">
      <c r="A164" t="s">
        <v>511</v>
      </c>
      <c r="B164">
        <v>1</v>
      </c>
    </row>
    <row r="165" spans="1:4">
      <c r="A165" t="s">
        <v>512</v>
      </c>
      <c r="B165">
        <v>1</v>
      </c>
    </row>
    <row r="166" spans="1:4">
      <c r="A166" t="s">
        <v>199</v>
      </c>
      <c r="B166">
        <v>0.85</v>
      </c>
    </row>
    <row r="167" spans="1:4">
      <c r="A167" t="s">
        <v>200</v>
      </c>
      <c r="B167">
        <v>0.85</v>
      </c>
    </row>
    <row r="168" spans="1:4">
      <c r="A168" t="s">
        <v>204</v>
      </c>
      <c r="B168">
        <v>0.85</v>
      </c>
    </row>
    <row r="169" spans="1:4">
      <c r="A169" t="s">
        <v>40</v>
      </c>
      <c r="B169">
        <v>0.8</v>
      </c>
    </row>
    <row r="170" spans="1:4">
      <c r="A170" s="5" t="s">
        <v>201</v>
      </c>
      <c r="B170">
        <v>0.45</v>
      </c>
    </row>
    <row r="171" spans="1:4">
      <c r="A171" s="5" t="s">
        <v>202</v>
      </c>
      <c r="B171">
        <v>0.45</v>
      </c>
    </row>
    <row r="172" spans="1:4">
      <c r="A172" s="5" t="s">
        <v>203</v>
      </c>
      <c r="B172">
        <v>0.45</v>
      </c>
    </row>
    <row r="173" spans="1:4">
      <c r="A173" s="5"/>
    </row>
    <row r="174" spans="1:4">
      <c r="A174" s="1" t="s">
        <v>32</v>
      </c>
      <c r="B174">
        <f>IF(給湯!$C$9="電気温水器",計算過程!$B$162,IF(給湯!$C$9="従来型都市ガス給湯器＜標準＞",計算過程!$B$163,IF(給湯!$C$9="従来型LPガス給湯器＜標準＞",計算過程!$B$164,IF(給湯!$C$9="従来型灯油給湯器＜標準＞",$B$165,IF(給湯!$C$9="エコジョーズ（都市ガス）",$B$166,IF(給湯!$C$9="エコジョーズ（LPガス）",$B$167,IF(給湯!$C$9="エコフィール",$B$168,IF(給湯!$C$9="エコキュート",計算過程!$B$169,IF(給湯!$C$9="太陽熱温水器＋エコジョーズ（都市ガス）",計算過程!$B$170,IF(給湯!$C$9="太陽熱温水器＋エコジョーズ（LPガス）",$B$171,IF(給湯!$C$9="太陽熱温水器＋エコフィール",$B$172)))))))))))</f>
        <v>2.56</v>
      </c>
      <c r="D174">
        <f>IF(給湯!E9="電気温水器",計算過程!$B$162,IF(給湯!E9="従来型都市ガス給湯器＜標準＞",計算過程!$B$163,IF(給湯!E9="従来型LPガス給湯器＜標準＞",計算過程!$B$164,IF(給湯!E9="従来型灯油給湯器＜標準＞",$B$165,IF(給湯!E9="エコジョーズ（都市ガス）",$B$166,IF(給湯!E9="エコジョーズ（LPガス）",$B$167,IF(給湯!E9="エコフィール",$B$168,IF(給湯!E9="エコキュート",計算過程!$B$169,IF(給湯!E9="太陽熱温水器＋エコジョーズ（都市ガス）",計算過程!$B$170,IF(給湯!E9="太陽熱温水器＋エコジョーズ（LPガス）",$B$171,IF(給湯!E9="太陽熱温水器＋エコフィール",$B$172)))))))))))</f>
        <v>0.45</v>
      </c>
    </row>
    <row r="175" spans="1:4">
      <c r="A175" s="1" t="s">
        <v>33</v>
      </c>
      <c r="B175">
        <f>D174</f>
        <v>0.45</v>
      </c>
    </row>
    <row r="177" spans="1:10">
      <c r="A177" s="6" t="s">
        <v>45</v>
      </c>
      <c r="B177">
        <v>1</v>
      </c>
      <c r="D177" t="s">
        <v>41</v>
      </c>
      <c r="E177" t="s">
        <v>42</v>
      </c>
      <c r="F177" t="s">
        <v>43</v>
      </c>
      <c r="G177" t="s">
        <v>44</v>
      </c>
    </row>
    <row r="178" spans="1:10">
      <c r="A178" t="s">
        <v>41</v>
      </c>
      <c r="B178">
        <v>0.98</v>
      </c>
      <c r="C178">
        <v>0.02</v>
      </c>
      <c r="D178" t="s">
        <v>78</v>
      </c>
      <c r="E178" t="s">
        <v>78</v>
      </c>
      <c r="F178" t="s">
        <v>78</v>
      </c>
      <c r="G178" t="s">
        <v>78</v>
      </c>
      <c r="H178" t="str">
        <f>D178&amp;E178&amp;F178&amp;G178</f>
        <v>ありありありあり</v>
      </c>
      <c r="I178">
        <f>1-J178</f>
        <v>0.84</v>
      </c>
      <c r="J178">
        <f>C178+C179+C180+C181</f>
        <v>0.16</v>
      </c>
    </row>
    <row r="179" spans="1:10">
      <c r="A179" t="s">
        <v>42</v>
      </c>
      <c r="B179">
        <v>0.94</v>
      </c>
      <c r="C179">
        <v>0.06</v>
      </c>
      <c r="D179" t="s">
        <v>78</v>
      </c>
      <c r="E179" t="s">
        <v>78</v>
      </c>
      <c r="F179" t="s">
        <v>78</v>
      </c>
      <c r="G179" t="s">
        <v>70</v>
      </c>
      <c r="H179" t="str">
        <f t="shared" ref="H179:H193" si="0">D179&amp;E179&amp;F179&amp;G179</f>
        <v>ありありありなし</v>
      </c>
      <c r="I179">
        <f t="shared" ref="I179:I193" si="1">1-J179</f>
        <v>0.9</v>
      </c>
      <c r="J179">
        <f>C178+C179+C181</f>
        <v>0.1</v>
      </c>
    </row>
    <row r="180" spans="1:10">
      <c r="A180" t="s">
        <v>43</v>
      </c>
      <c r="B180">
        <v>0.94</v>
      </c>
      <c r="C180">
        <v>0.06</v>
      </c>
      <c r="D180" t="s">
        <v>78</v>
      </c>
      <c r="E180" t="s">
        <v>78</v>
      </c>
      <c r="F180" t="s">
        <v>70</v>
      </c>
      <c r="G180" t="s">
        <v>78</v>
      </c>
      <c r="H180" t="str">
        <f t="shared" si="0"/>
        <v>ありありなしあり</v>
      </c>
      <c r="I180">
        <f t="shared" si="1"/>
        <v>0.9</v>
      </c>
      <c r="J180">
        <f>C178+C179+C181</f>
        <v>0.1</v>
      </c>
    </row>
    <row r="181" spans="1:10">
      <c r="A181" t="s">
        <v>44</v>
      </c>
      <c r="B181">
        <v>0.98</v>
      </c>
      <c r="C181">
        <v>0.02</v>
      </c>
      <c r="D181" t="s">
        <v>78</v>
      </c>
      <c r="E181" t="s">
        <v>78</v>
      </c>
      <c r="F181" t="s">
        <v>70</v>
      </c>
      <c r="G181" t="s">
        <v>70</v>
      </c>
      <c r="H181" t="str">
        <f t="shared" si="0"/>
        <v>ありありなしなし</v>
      </c>
      <c r="I181">
        <f t="shared" si="1"/>
        <v>0.92</v>
      </c>
      <c r="J181">
        <f>C178+C179</f>
        <v>0.08</v>
      </c>
    </row>
    <row r="182" spans="1:10">
      <c r="D182" t="s">
        <v>78</v>
      </c>
      <c r="E182" t="s">
        <v>70</v>
      </c>
      <c r="F182" t="s">
        <v>78</v>
      </c>
      <c r="G182" t="s">
        <v>78</v>
      </c>
      <c r="H182" t="str">
        <f t="shared" si="0"/>
        <v>ありなしありあり</v>
      </c>
      <c r="I182">
        <f t="shared" si="1"/>
        <v>0.9</v>
      </c>
      <c r="J182">
        <f>C178+C180+C181</f>
        <v>0.1</v>
      </c>
    </row>
    <row r="183" spans="1:10">
      <c r="D183" t="s">
        <v>78</v>
      </c>
      <c r="E183" t="s">
        <v>70</v>
      </c>
      <c r="F183" t="s">
        <v>78</v>
      </c>
      <c r="G183" t="s">
        <v>70</v>
      </c>
      <c r="H183" t="str">
        <f t="shared" si="0"/>
        <v>ありなしありなし</v>
      </c>
      <c r="I183">
        <f t="shared" si="1"/>
        <v>0.92</v>
      </c>
      <c r="J183">
        <f>C178+C180</f>
        <v>0.08</v>
      </c>
    </row>
    <row r="184" spans="1:10">
      <c r="D184" t="s">
        <v>78</v>
      </c>
      <c r="E184" t="s">
        <v>70</v>
      </c>
      <c r="F184" t="s">
        <v>70</v>
      </c>
      <c r="G184" t="s">
        <v>78</v>
      </c>
      <c r="H184" t="str">
        <f t="shared" si="0"/>
        <v>ありなしなしあり</v>
      </c>
      <c r="I184">
        <f t="shared" si="1"/>
        <v>0.96</v>
      </c>
      <c r="J184">
        <f>C178+C181</f>
        <v>0.04</v>
      </c>
    </row>
    <row r="185" spans="1:10">
      <c r="D185" t="s">
        <v>78</v>
      </c>
      <c r="E185" t="s">
        <v>70</v>
      </c>
      <c r="F185" t="s">
        <v>72</v>
      </c>
      <c r="G185" t="s">
        <v>72</v>
      </c>
      <c r="H185" t="str">
        <f t="shared" si="0"/>
        <v>ありなしなしなし</v>
      </c>
      <c r="I185">
        <f t="shared" si="1"/>
        <v>0.98</v>
      </c>
      <c r="J185">
        <f>C178</f>
        <v>0.02</v>
      </c>
    </row>
    <row r="186" spans="1:10">
      <c r="D186" t="s">
        <v>71</v>
      </c>
      <c r="E186" t="s">
        <v>79</v>
      </c>
      <c r="F186" t="s">
        <v>79</v>
      </c>
      <c r="G186" t="s">
        <v>78</v>
      </c>
      <c r="H186" t="str">
        <f t="shared" si="0"/>
        <v>なしありありあり</v>
      </c>
      <c r="I186">
        <f t="shared" si="1"/>
        <v>0.86</v>
      </c>
      <c r="J186">
        <f>C179+C180+C181</f>
        <v>0.13999999999999999</v>
      </c>
    </row>
    <row r="187" spans="1:10">
      <c r="D187" t="s">
        <v>71</v>
      </c>
      <c r="E187" t="s">
        <v>79</v>
      </c>
      <c r="F187" t="s">
        <v>78</v>
      </c>
      <c r="G187" t="s">
        <v>70</v>
      </c>
      <c r="H187" t="str">
        <f t="shared" si="0"/>
        <v>なしありありなし</v>
      </c>
      <c r="I187">
        <f t="shared" si="1"/>
        <v>0.88</v>
      </c>
      <c r="J187">
        <f>C179+C180</f>
        <v>0.12</v>
      </c>
    </row>
    <row r="188" spans="1:10">
      <c r="D188" t="s">
        <v>71</v>
      </c>
      <c r="E188" t="s">
        <v>79</v>
      </c>
      <c r="F188" t="s">
        <v>70</v>
      </c>
      <c r="G188" t="s">
        <v>79</v>
      </c>
      <c r="H188" t="str">
        <f t="shared" si="0"/>
        <v>なしありなしあり</v>
      </c>
      <c r="I188">
        <f t="shared" si="1"/>
        <v>0.92</v>
      </c>
      <c r="J188">
        <f>C179+C181</f>
        <v>0.08</v>
      </c>
    </row>
    <row r="189" spans="1:10">
      <c r="D189" t="s">
        <v>70</v>
      </c>
      <c r="E189" t="s">
        <v>79</v>
      </c>
      <c r="F189" t="s">
        <v>70</v>
      </c>
      <c r="G189" t="s">
        <v>73</v>
      </c>
      <c r="H189" t="str">
        <f t="shared" si="0"/>
        <v>なしありなしなし</v>
      </c>
      <c r="I189">
        <f t="shared" si="1"/>
        <v>0.94</v>
      </c>
      <c r="J189">
        <f>C179</f>
        <v>0.06</v>
      </c>
    </row>
    <row r="190" spans="1:10">
      <c r="D190" t="s">
        <v>72</v>
      </c>
      <c r="E190" t="s">
        <v>73</v>
      </c>
      <c r="F190" t="s">
        <v>78</v>
      </c>
      <c r="G190" t="s">
        <v>78</v>
      </c>
      <c r="H190" t="str">
        <f t="shared" si="0"/>
        <v>なしなしありあり</v>
      </c>
      <c r="I190">
        <f t="shared" si="1"/>
        <v>0.92</v>
      </c>
      <c r="J190">
        <f>C180+C181</f>
        <v>0.08</v>
      </c>
    </row>
    <row r="191" spans="1:10">
      <c r="D191" t="s">
        <v>72</v>
      </c>
      <c r="E191" t="s">
        <v>73</v>
      </c>
      <c r="F191" t="s">
        <v>78</v>
      </c>
      <c r="G191" t="s">
        <v>70</v>
      </c>
      <c r="H191" t="str">
        <f t="shared" si="0"/>
        <v>なしなしありなし</v>
      </c>
      <c r="I191">
        <f t="shared" si="1"/>
        <v>0.94</v>
      </c>
      <c r="J191">
        <f>C180</f>
        <v>0.06</v>
      </c>
    </row>
    <row r="192" spans="1:10">
      <c r="D192" t="s">
        <v>72</v>
      </c>
      <c r="E192" t="s">
        <v>73</v>
      </c>
      <c r="F192" t="s">
        <v>70</v>
      </c>
      <c r="G192" t="s">
        <v>78</v>
      </c>
      <c r="H192" t="str">
        <f t="shared" si="0"/>
        <v>なしなしなしあり</v>
      </c>
      <c r="I192">
        <f t="shared" si="1"/>
        <v>0.98</v>
      </c>
      <c r="J192">
        <f>C181</f>
        <v>0.02</v>
      </c>
    </row>
    <row r="193" spans="1:10">
      <c r="D193" t="s">
        <v>72</v>
      </c>
      <c r="E193" t="s">
        <v>73</v>
      </c>
      <c r="F193" t="s">
        <v>70</v>
      </c>
      <c r="G193" t="s">
        <v>73</v>
      </c>
      <c r="H193" t="str">
        <f t="shared" si="0"/>
        <v>なしなしなしなし</v>
      </c>
      <c r="I193">
        <f t="shared" si="1"/>
        <v>1</v>
      </c>
      <c r="J193">
        <v>0</v>
      </c>
    </row>
    <row r="194" spans="1:10">
      <c r="D194" t="s">
        <v>80</v>
      </c>
      <c r="E194" t="s">
        <v>81</v>
      </c>
    </row>
    <row r="195" spans="1:10">
      <c r="D195" t="str">
        <f>給湯!C10&amp;給湯!C11&amp;給湯!C12&amp;給湯!C13</f>
        <v>なしなしなしなし</v>
      </c>
      <c r="E195" t="str">
        <f>給湯!E10&amp;給湯!E11&amp;給湯!E12&amp;給湯!E13</f>
        <v>ありありありあり</v>
      </c>
    </row>
    <row r="196" spans="1:10">
      <c r="D196">
        <f>VLOOKUP(D195,$H$178:$I$193,2,FALSE)</f>
        <v>1</v>
      </c>
      <c r="E196">
        <f>VLOOKUP(E195,$H$178:$I$193,2,FALSE)</f>
        <v>0.84</v>
      </c>
    </row>
    <row r="198" spans="1:10">
      <c r="A198" s="1" t="s">
        <v>32</v>
      </c>
      <c r="B198">
        <f>D196</f>
        <v>1</v>
      </c>
    </row>
    <row r="199" spans="1:10">
      <c r="A199" s="1" t="s">
        <v>33</v>
      </c>
      <c r="B199">
        <f>E196</f>
        <v>0.84</v>
      </c>
    </row>
    <row r="201" spans="1:10">
      <c r="A201" s="6" t="s">
        <v>515</v>
      </c>
      <c r="B201">
        <v>1</v>
      </c>
    </row>
    <row r="202" spans="1:10">
      <c r="A202" s="6" t="s">
        <v>47</v>
      </c>
      <c r="B202">
        <v>0.98</v>
      </c>
    </row>
    <row r="204" spans="1:10">
      <c r="A204" s="1" t="s">
        <v>32</v>
      </c>
      <c r="B204">
        <f>IF(給湯!C14="一般＜標準＞",$B$201,IF(給湯!C14="高断熱",計算過程!$B$202))</f>
        <v>1</v>
      </c>
    </row>
    <row r="205" spans="1:10">
      <c r="A205" s="1" t="s">
        <v>33</v>
      </c>
      <c r="B205">
        <f>IF(給湯!E14="一般＜標準＞",$B$201,IF(給湯!E14="高断熱",計算過程!$B$202))</f>
        <v>0.98</v>
      </c>
    </row>
    <row r="206" spans="1:10">
      <c r="A206" s="1"/>
    </row>
    <row r="207" spans="1:10">
      <c r="A207" s="6" t="s">
        <v>503</v>
      </c>
      <c r="B207">
        <v>1</v>
      </c>
    </row>
    <row r="208" spans="1:10">
      <c r="A208" s="6" t="s">
        <v>49</v>
      </c>
      <c r="B208">
        <v>0.97</v>
      </c>
    </row>
    <row r="210" spans="1:2">
      <c r="A210" s="1" t="s">
        <v>32</v>
      </c>
      <c r="B210">
        <f>IF(給湯!C15="なし＜標準＞",計算過程!$B$207,IF(給湯!C15="あり",計算過程!B208))</f>
        <v>1</v>
      </c>
    </row>
    <row r="211" spans="1:2">
      <c r="A211" s="1" t="s">
        <v>33</v>
      </c>
      <c r="B211">
        <f>IF(給湯!E15="なし＜標準＞",計算過程!$B$207,IF(給湯!E15="あり",計算過程!$B$208))</f>
        <v>0.97</v>
      </c>
    </row>
    <row r="212" spans="1:2">
      <c r="A212" s="1"/>
    </row>
    <row r="214" spans="1:2">
      <c r="A214" s="4" t="s">
        <v>5</v>
      </c>
    </row>
    <row r="216" spans="1:2">
      <c r="A216" t="s">
        <v>516</v>
      </c>
      <c r="B216">
        <v>1</v>
      </c>
    </row>
    <row r="217" spans="1:2">
      <c r="A217" t="s">
        <v>51</v>
      </c>
      <c r="B217">
        <v>0.8</v>
      </c>
    </row>
    <row r="219" spans="1:2">
      <c r="A219" s="1" t="s">
        <v>32</v>
      </c>
      <c r="B219">
        <f>IF(その他!C9="一般蛍光灯＜標準＞",計算過程!$B$216,IF(その他!C9="省エネ蛍光灯/LED",計算過程!$B$217))</f>
        <v>1</v>
      </c>
    </row>
    <row r="220" spans="1:2">
      <c r="A220" s="1" t="s">
        <v>33</v>
      </c>
      <c r="B220">
        <f>IF(その他!E9="一般蛍光灯＜標準＞",計算過程!$B$216,IF(その他!E9="省エネ蛍光灯/LED",計算過程!$B$217))</f>
        <v>0.8</v>
      </c>
    </row>
    <row r="222" spans="1:2">
      <c r="A222" s="6" t="s">
        <v>503</v>
      </c>
      <c r="B222">
        <v>1</v>
      </c>
    </row>
    <row r="223" spans="1:2">
      <c r="A223" s="6" t="s">
        <v>52</v>
      </c>
      <c r="B223">
        <v>0.84</v>
      </c>
    </row>
    <row r="224" spans="1:2">
      <c r="A224" s="6" t="s">
        <v>53</v>
      </c>
      <c r="B224">
        <v>0.84</v>
      </c>
    </row>
    <row r="225" spans="1:2">
      <c r="A225" s="6" t="s">
        <v>55</v>
      </c>
      <c r="B225">
        <f>B223*B224</f>
        <v>0.70559999999999989</v>
      </c>
    </row>
    <row r="226" spans="1:2">
      <c r="A226" t="s">
        <v>54</v>
      </c>
      <c r="B226">
        <f>B225</f>
        <v>0.70559999999999989</v>
      </c>
    </row>
    <row r="228" spans="1:2">
      <c r="A228" s="1" t="s">
        <v>32</v>
      </c>
      <c r="B228">
        <f>IF(その他!C10="なし＜標準＞",計算過程!$B$222,IF(その他!C10="調光",計算過程!$B$223,IF(その他!C10="タイマー＋人感センサー",計算過程!$B$224,IF(その他!C10="調光＋タイマー＋人感センサー",計算過程!$B$225,IF(その他!C10="小まめなon-off",計算過程!$B$226)))))</f>
        <v>1</v>
      </c>
    </row>
    <row r="229" spans="1:2">
      <c r="A229" s="1" t="s">
        <v>33</v>
      </c>
      <c r="B229">
        <f>IF(その他!E10="なし＜標準＞",計算過程!$B$222,IF(その他!E10="調光",計算過程!$B$223,IF(その他!E10="タイマー＋人感センサー",計算過程!$B$224,IF(その他!E10="調光＋タイマー＋人感センサー",計算過程!$B$225,IF(その他!E10="小まめなon-off",計算過程!$B$226)))))</f>
        <v>0.70559999999999989</v>
      </c>
    </row>
    <row r="231" spans="1:2">
      <c r="A231" s="6" t="s">
        <v>517</v>
      </c>
      <c r="B231">
        <v>1</v>
      </c>
    </row>
    <row r="232" spans="1:2">
      <c r="A232" s="6" t="s">
        <v>58</v>
      </c>
      <c r="B232">
        <v>0.9</v>
      </c>
    </row>
    <row r="234" spans="1:2">
      <c r="A234" s="1" t="s">
        <v>32</v>
      </c>
      <c r="B234">
        <f>IF(その他!C11="難しい/実行していない＜標準＞",計算過程!$B$231,IF(その他!C11="可能でほぼ実行",計算過程!$B$232))</f>
        <v>1</v>
      </c>
    </row>
    <row r="235" spans="1:2">
      <c r="A235" s="1" t="s">
        <v>33</v>
      </c>
      <c r="B235">
        <f>IF(その他!E11="難しい/実行していない＜標準＞",計算過程!$B$231,IF(その他!E11="可能でほぼ実行",計算過程!$B$232))</f>
        <v>0.9</v>
      </c>
    </row>
    <row r="236" spans="1:2">
      <c r="A236" s="1"/>
    </row>
    <row r="237" spans="1:2">
      <c r="A237" s="4" t="s">
        <v>6</v>
      </c>
    </row>
    <row r="239" spans="1:2">
      <c r="A239" s="6" t="s">
        <v>518</v>
      </c>
      <c r="B239">
        <v>1</v>
      </c>
    </row>
    <row r="240" spans="1:2">
      <c r="A240" s="6" t="s">
        <v>59</v>
      </c>
      <c r="B240">
        <v>3.2</v>
      </c>
    </row>
    <row r="241" spans="1:10">
      <c r="A241" s="6" t="s">
        <v>60</v>
      </c>
      <c r="B241">
        <v>1.9</v>
      </c>
    </row>
    <row r="243" spans="1:10">
      <c r="A243" s="1" t="s">
        <v>32</v>
      </c>
      <c r="B243">
        <f>IF(その他!C38="局所のみ＜標準＞",計算過程!$B$239,IF(その他!C38="一般24時間換気扇",計算過程!$B$240,IF(その他!C38="省エネ24時間換気扇",計算過程!$B$241)))</f>
        <v>1</v>
      </c>
    </row>
    <row r="244" spans="1:10">
      <c r="A244" s="1" t="s">
        <v>33</v>
      </c>
      <c r="B244">
        <f>IF(その他!E38="局所のみ＜標準＞",計算過程!$B$239,IF(その他!E38="一般24時間換気扇",計算過程!$B$240,IF(その他!E38="省エネ24時間換気扇",計算過程!$B$241)))</f>
        <v>1.9</v>
      </c>
    </row>
    <row r="246" spans="1:10">
      <c r="A246" s="4" t="s">
        <v>7</v>
      </c>
    </row>
    <row r="247" spans="1:10">
      <c r="A247" s="6" t="s">
        <v>62</v>
      </c>
      <c r="D247" t="s">
        <v>127</v>
      </c>
    </row>
    <row r="248" spans="1:10">
      <c r="A248" s="7" t="s">
        <v>64</v>
      </c>
      <c r="B248" s="4">
        <f>H254</f>
        <v>7.2614399999999995</v>
      </c>
      <c r="C248" s="1" t="s">
        <v>32</v>
      </c>
      <c r="D248">
        <f>IF(その他!C66="1995～2000年の製品",計算過程!$B$248,IF(その他!C66="2001年～2010年の製品",$B$249,IF(その他!C66="2011年以降省エネ型",計算過程!$B$250)))</f>
        <v>7.2614399999999995</v>
      </c>
    </row>
    <row r="249" spans="1:10">
      <c r="A249" s="7" t="s">
        <v>459</v>
      </c>
      <c r="B249" s="4">
        <f>H256</f>
        <v>3.6307199999999997</v>
      </c>
      <c r="C249" s="1"/>
    </row>
    <row r="250" spans="1:10">
      <c r="A250" t="s">
        <v>63</v>
      </c>
      <c r="B250" s="18">
        <f>H267</f>
        <v>1.22976</v>
      </c>
      <c r="C250" s="1" t="s">
        <v>33</v>
      </c>
      <c r="D250">
        <f>IF(その他!E66="1995～2000年の製品",計算過程!$B$248,IF(その他!E66="2001年～2010年の製品",$B$249,IF(その他!E66="2011年以降省エネ型",計算過程!$B$250)))</f>
        <v>1.22976</v>
      </c>
    </row>
    <row r="252" spans="1:10">
      <c r="A252" s="11">
        <v>1998</v>
      </c>
      <c r="B252" s="11" t="s">
        <v>108</v>
      </c>
      <c r="C252" s="11">
        <v>650</v>
      </c>
      <c r="D252" s="11">
        <f>C252*9.76/1000</f>
        <v>6.3440000000000003</v>
      </c>
      <c r="E252" s="11" t="s">
        <v>109</v>
      </c>
      <c r="F252" t="s">
        <v>122</v>
      </c>
      <c r="G252">
        <v>650</v>
      </c>
      <c r="H252" s="11">
        <f>G252*9.76/1000</f>
        <v>6.3440000000000003</v>
      </c>
      <c r="I252" s="11" t="s">
        <v>109</v>
      </c>
    </row>
    <row r="253" spans="1:10">
      <c r="A253" s="11"/>
      <c r="B253" s="11" t="s">
        <v>114</v>
      </c>
      <c r="C253" s="11">
        <v>750</v>
      </c>
      <c r="D253" s="11">
        <f>C253*9.76/1000</f>
        <v>7.32</v>
      </c>
      <c r="E253" s="11" t="s">
        <v>109</v>
      </c>
      <c r="F253" s="11" t="s">
        <v>125</v>
      </c>
      <c r="G253" s="11">
        <v>744</v>
      </c>
      <c r="H253" s="11">
        <f>G253*9.76/1000</f>
        <v>7.2614399999999995</v>
      </c>
      <c r="I253" s="11" t="s">
        <v>109</v>
      </c>
    </row>
    <row r="254" spans="1:10">
      <c r="A254" s="15" t="s">
        <v>110</v>
      </c>
      <c r="B254" s="11" t="s">
        <v>111</v>
      </c>
      <c r="C254" s="11">
        <v>315</v>
      </c>
      <c r="D254" s="11">
        <f>C254*9.76/1000</f>
        <v>3.0744000000000002</v>
      </c>
      <c r="E254" s="11" t="s">
        <v>109</v>
      </c>
      <c r="F254" s="11" t="s">
        <v>123</v>
      </c>
      <c r="G254" s="4">
        <v>744</v>
      </c>
      <c r="H254" s="11">
        <f>G254*9.76/1000</f>
        <v>7.2614399999999995</v>
      </c>
      <c r="I254" s="11" t="s">
        <v>109</v>
      </c>
    </row>
    <row r="255" spans="1:10">
      <c r="A255" s="11"/>
      <c r="B255" s="11"/>
      <c r="C255" s="11">
        <v>274</v>
      </c>
      <c r="D255" s="11"/>
      <c r="E255" s="11"/>
    </row>
    <row r="256" spans="1:10">
      <c r="A256" s="11"/>
      <c r="B256" s="11"/>
      <c r="C256" s="11">
        <v>259</v>
      </c>
      <c r="D256" s="11"/>
      <c r="E256" s="11"/>
      <c r="F256" t="s">
        <v>460</v>
      </c>
      <c r="G256">
        <v>372</v>
      </c>
      <c r="H256" s="11">
        <f>G256*9.76/1000</f>
        <v>3.6307199999999997</v>
      </c>
      <c r="I256" s="11" t="s">
        <v>82</v>
      </c>
      <c r="J256" t="s">
        <v>461</v>
      </c>
    </row>
    <row r="257" spans="1:10">
      <c r="A257" s="11"/>
      <c r="B257" s="11"/>
      <c r="C257" s="11">
        <v>390</v>
      </c>
      <c r="D257" s="11"/>
      <c r="E257" s="11"/>
    </row>
    <row r="258" spans="1:10">
      <c r="A258" s="15" t="s">
        <v>113</v>
      </c>
      <c r="B258" s="11"/>
      <c r="C258" s="11">
        <v>258</v>
      </c>
      <c r="D258" s="11"/>
      <c r="E258" s="11"/>
    </row>
    <row r="259" spans="1:10">
      <c r="A259" s="11"/>
      <c r="B259" s="11"/>
      <c r="C259" s="11">
        <v>241</v>
      </c>
      <c r="D259" s="11"/>
      <c r="E259" s="11"/>
    </row>
    <row r="260" spans="1:10">
      <c r="A260" s="11"/>
      <c r="B260" s="11"/>
      <c r="C260" s="11">
        <v>245</v>
      </c>
      <c r="D260" s="11"/>
      <c r="E260" s="11"/>
    </row>
    <row r="261" spans="1:10">
      <c r="A261" s="11"/>
      <c r="B261" s="11"/>
      <c r="C261" s="11">
        <v>365</v>
      </c>
      <c r="D261" s="11"/>
      <c r="E261" s="11"/>
    </row>
    <row r="262" spans="1:10">
      <c r="A262" s="11"/>
      <c r="B262" s="11"/>
      <c r="C262" s="11">
        <v>253</v>
      </c>
      <c r="D262" s="11"/>
      <c r="E262" s="11"/>
    </row>
    <row r="263" spans="1:10">
      <c r="A263" s="15" t="s">
        <v>112</v>
      </c>
      <c r="B263" s="11" t="s">
        <v>111</v>
      </c>
      <c r="C263" s="11">
        <v>450</v>
      </c>
      <c r="D263" s="11">
        <f>C263*9.76/1000</f>
        <v>4.3920000000000003</v>
      </c>
      <c r="E263" s="11" t="s">
        <v>109</v>
      </c>
    </row>
    <row r="264" spans="1:10">
      <c r="A264" s="11"/>
      <c r="B264" s="11"/>
      <c r="C264" s="11">
        <v>420</v>
      </c>
      <c r="D264" s="11">
        <f>C264*9.76/1000</f>
        <v>4.0991999999999997</v>
      </c>
      <c r="E264" s="11"/>
    </row>
    <row r="265" spans="1:10">
      <c r="A265" s="11"/>
      <c r="B265" s="11"/>
      <c r="C265" s="11">
        <v>280</v>
      </c>
      <c r="D265" s="11"/>
      <c r="E265" s="11"/>
    </row>
    <row r="266" spans="1:10">
      <c r="A266" s="11"/>
      <c r="B266" s="11" t="s">
        <v>115</v>
      </c>
      <c r="C266" s="11">
        <f>SUM(C254:C265)</f>
        <v>3750</v>
      </c>
      <c r="D266" s="11"/>
      <c r="E266" s="11"/>
    </row>
    <row r="267" spans="1:10">
      <c r="A267" s="11"/>
      <c r="B267" s="11" t="s">
        <v>116</v>
      </c>
      <c r="C267" s="11">
        <f>C266/12</f>
        <v>312.5</v>
      </c>
      <c r="D267" s="11"/>
      <c r="E267" s="11"/>
      <c r="F267" s="11" t="s">
        <v>125</v>
      </c>
      <c r="G267" s="11">
        <v>126</v>
      </c>
      <c r="H267" s="17">
        <f>G267*9.76/1000</f>
        <v>1.22976</v>
      </c>
      <c r="I267" s="11" t="s">
        <v>109</v>
      </c>
      <c r="J267" t="s">
        <v>458</v>
      </c>
    </row>
    <row r="269" spans="1:10">
      <c r="A269" s="6" t="s">
        <v>61</v>
      </c>
      <c r="D269" t="s">
        <v>127</v>
      </c>
      <c r="H269" s="14"/>
    </row>
    <row r="270" spans="1:10">
      <c r="A270" s="7" t="s">
        <v>64</v>
      </c>
      <c r="B270" s="4">
        <f>H274</f>
        <v>4.3724799999999995</v>
      </c>
      <c r="C270" s="1" t="s">
        <v>32</v>
      </c>
      <c r="D270">
        <f>IF(その他!C72="1995～2000年の製品",計算過程!B270,IF(その他!C72="2001年～2010年の製品",B271,IF(その他!C72="2011年以降省エネ型",計算過程!B272)))</f>
        <v>4.3724799999999995</v>
      </c>
    </row>
    <row r="271" spans="1:10">
      <c r="A271" s="7" t="s">
        <v>459</v>
      </c>
      <c r="B271" s="4">
        <f>H279</f>
        <v>3.6111999999999997</v>
      </c>
      <c r="C271" s="1"/>
    </row>
    <row r="272" spans="1:10">
      <c r="A272" t="s">
        <v>63</v>
      </c>
      <c r="B272" s="18">
        <f>H277</f>
        <v>1.8543999999999998</v>
      </c>
      <c r="C272" s="1" t="s">
        <v>33</v>
      </c>
      <c r="D272">
        <f>IF(その他!E72="1995～2000年の製品",計算過程!B270,IF(その他!E72="2001年～2010年の製品",B271,IF(その他!E72="2011年以降省エネ型",計算過程!B272)))</f>
        <v>1.8543999999999998</v>
      </c>
    </row>
    <row r="274" spans="1:11">
      <c r="A274" s="1"/>
      <c r="E274" s="1"/>
      <c r="F274" s="11" t="s">
        <v>125</v>
      </c>
      <c r="G274" s="16">
        <v>448</v>
      </c>
      <c r="H274" s="16">
        <f>G274*9.76/1000</f>
        <v>4.3724799999999995</v>
      </c>
      <c r="I274" s="11" t="s">
        <v>109</v>
      </c>
      <c r="J274" t="s">
        <v>462</v>
      </c>
    </row>
    <row r="275" spans="1:11">
      <c r="A275" s="1"/>
      <c r="E275" s="1"/>
      <c r="F275" s="11" t="s">
        <v>124</v>
      </c>
      <c r="G275" s="11">
        <v>350</v>
      </c>
      <c r="H275" s="16">
        <f>G275*9.76/1000</f>
        <v>3.4159999999999999</v>
      </c>
      <c r="I275" s="11" t="s">
        <v>109</v>
      </c>
    </row>
    <row r="276" spans="1:11">
      <c r="A276" s="1"/>
      <c r="E276" s="1"/>
      <c r="F276" s="11" t="s">
        <v>123</v>
      </c>
      <c r="G276" s="4">
        <v>448</v>
      </c>
      <c r="H276" s="16">
        <f>G276*9.76/1000</f>
        <v>4.3724799999999995</v>
      </c>
      <c r="I276" s="11" t="s">
        <v>109</v>
      </c>
      <c r="K276" t="s">
        <v>458</v>
      </c>
    </row>
    <row r="277" spans="1:11">
      <c r="A277" s="1"/>
      <c r="E277" s="1"/>
      <c r="F277" s="11" t="s">
        <v>124</v>
      </c>
      <c r="G277">
        <v>190</v>
      </c>
      <c r="H277" s="17">
        <f>G277*9.76/1000</f>
        <v>1.8543999999999998</v>
      </c>
      <c r="I277" s="11" t="s">
        <v>109</v>
      </c>
      <c r="J277" t="s">
        <v>126</v>
      </c>
      <c r="K277" t="s">
        <v>457</v>
      </c>
    </row>
    <row r="279" spans="1:11">
      <c r="F279" t="s">
        <v>460</v>
      </c>
      <c r="G279">
        <v>370</v>
      </c>
      <c r="H279" s="16">
        <f>G279*9.76/1000</f>
        <v>3.6111999999999997</v>
      </c>
      <c r="I279" s="11" t="s">
        <v>82</v>
      </c>
      <c r="J279" t="s">
        <v>462</v>
      </c>
    </row>
    <row r="283" spans="1:11">
      <c r="A283" s="6" t="s">
        <v>68</v>
      </c>
      <c r="D283" t="s">
        <v>127</v>
      </c>
    </row>
    <row r="284" spans="1:11">
      <c r="A284" s="8" t="s">
        <v>65</v>
      </c>
      <c r="B284" s="4">
        <f>H289</f>
        <v>3.9039999999999999</v>
      </c>
      <c r="C284" s="1" t="s">
        <v>32</v>
      </c>
      <c r="D284">
        <f>IF(その他!C78="貯湯・常時便座保温",計算過程!B284,計算過程!B285)</f>
        <v>3.9039999999999999</v>
      </c>
    </row>
    <row r="285" spans="1:11">
      <c r="A285" s="7" t="s">
        <v>66</v>
      </c>
      <c r="B285" s="18">
        <f>H290</f>
        <v>1.9032</v>
      </c>
      <c r="C285" s="1" t="s">
        <v>33</v>
      </c>
      <c r="D285">
        <f>IF(その他!E78="貯湯・常時便座保温",計算過程!B284,計算過程!B285)</f>
        <v>1.9032</v>
      </c>
    </row>
    <row r="287" spans="1:11">
      <c r="A287" s="1"/>
      <c r="E287" s="1"/>
      <c r="F287" s="11" t="s">
        <v>124</v>
      </c>
      <c r="G287" s="16">
        <v>440</v>
      </c>
      <c r="H287" s="16">
        <f>G287*9.76/1000</f>
        <v>4.2943999999999996</v>
      </c>
      <c r="I287" s="11" t="s">
        <v>109</v>
      </c>
    </row>
    <row r="288" spans="1:11">
      <c r="A288" s="1"/>
      <c r="E288" s="1"/>
      <c r="F288" s="11" t="s">
        <v>125</v>
      </c>
      <c r="G288" s="16">
        <v>400</v>
      </c>
      <c r="H288" s="16">
        <f>G288*9.76/1000</f>
        <v>3.9039999999999999</v>
      </c>
      <c r="I288" s="11" t="s">
        <v>109</v>
      </c>
    </row>
    <row r="289" spans="1:10">
      <c r="A289" s="1"/>
      <c r="E289" s="1"/>
      <c r="F289" s="11" t="s">
        <v>123</v>
      </c>
      <c r="G289" s="4">
        <v>400</v>
      </c>
      <c r="H289" s="11">
        <f>G289*9.76/1000</f>
        <v>3.9039999999999999</v>
      </c>
      <c r="I289" s="11" t="s">
        <v>109</v>
      </c>
    </row>
    <row r="290" spans="1:10">
      <c r="A290" s="1"/>
      <c r="E290" s="1"/>
      <c r="F290" s="11" t="s">
        <v>124</v>
      </c>
      <c r="G290" s="11">
        <v>195</v>
      </c>
      <c r="H290" s="17">
        <f>G290*9.76/1000</f>
        <v>1.9032</v>
      </c>
      <c r="I290" s="11" t="s">
        <v>109</v>
      </c>
    </row>
    <row r="293" spans="1:10">
      <c r="F293" t="s">
        <v>117</v>
      </c>
      <c r="H293">
        <f>H254+H276+H289</f>
        <v>15.53792</v>
      </c>
      <c r="I293" t="s">
        <v>119</v>
      </c>
    </row>
    <row r="294" spans="1:10">
      <c r="F294" t="s">
        <v>118</v>
      </c>
      <c r="H294">
        <v>23.6</v>
      </c>
    </row>
    <row r="295" spans="1:10">
      <c r="H295">
        <f>H294-H293</f>
        <v>8.0620800000000017</v>
      </c>
      <c r="I295" t="s">
        <v>120</v>
      </c>
    </row>
    <row r="296" spans="1:10">
      <c r="I296" t="s">
        <v>121</v>
      </c>
      <c r="J296">
        <v>7.8</v>
      </c>
    </row>
    <row r="297" spans="1:10">
      <c r="J297">
        <v>11.7</v>
      </c>
    </row>
    <row r="298" spans="1:10">
      <c r="J298">
        <v>14.6</v>
      </c>
    </row>
    <row r="300" spans="1:10">
      <c r="A300" t="s">
        <v>129</v>
      </c>
      <c r="D300" t="s">
        <v>127</v>
      </c>
    </row>
    <row r="301" spans="1:10">
      <c r="A301" t="s">
        <v>132</v>
      </c>
      <c r="B301">
        <f>H295</f>
        <v>8.0620800000000017</v>
      </c>
      <c r="C301" s="1" t="s">
        <v>32</v>
      </c>
      <c r="D301">
        <f>IF(その他!C82="平均的",計算過程!$B$301,IF(その他!C82="少なめ",計算過程!$B$302,IF(その他!C82="少し多め",計算過程!$B$303,計算過程!$B$304)))</f>
        <v>8.0620800000000017</v>
      </c>
    </row>
    <row r="302" spans="1:10">
      <c r="A302" t="s">
        <v>130</v>
      </c>
      <c r="B302">
        <f>7.808</f>
        <v>7.8079999999999998</v>
      </c>
      <c r="C302" s="1" t="s">
        <v>33</v>
      </c>
      <c r="D302">
        <f>IF(その他!E82="平均的",計算過程!$B$301,IF(その他!E82="少なめ",計算過程!$B$302,IF(その他!E82="少し多め",計算過程!$B$303,計算過程!$B$304)))</f>
        <v>7.8079999999999998</v>
      </c>
    </row>
    <row r="303" spans="1:10">
      <c r="A303" t="s">
        <v>463</v>
      </c>
      <c r="B303">
        <v>11.712</v>
      </c>
    </row>
    <row r="304" spans="1:10">
      <c r="A304" t="s">
        <v>131</v>
      </c>
      <c r="B304">
        <v>14.64</v>
      </c>
    </row>
    <row r="306" spans="1:5">
      <c r="A306" s="1" t="s">
        <v>137</v>
      </c>
      <c r="B306" t="s">
        <v>136</v>
      </c>
      <c r="D306" t="s">
        <v>138</v>
      </c>
      <c r="E306" s="4">
        <f>IF(基本情報!D7=1,計算過程!C307,IF(基本情報!D7=2,計算過程!C308,IF(基本情報!D7=3,計算過程!C309,IF(基本情報!D7=4,計算過程!C310,IF(基本情報!D7=5,計算過程!C311,IF(基本情報!D7=6,計算過程!C312))))))</f>
        <v>1.1483050847457628</v>
      </c>
    </row>
    <row r="307" spans="1:5">
      <c r="A307">
        <v>1</v>
      </c>
      <c r="B307">
        <v>11.8</v>
      </c>
      <c r="C307">
        <f>B307/$B$310</f>
        <v>0.5</v>
      </c>
    </row>
    <row r="308" spans="1:5">
      <c r="A308">
        <v>2</v>
      </c>
      <c r="B308">
        <v>18.899999999999999</v>
      </c>
      <c r="C308">
        <f t="shared" ref="C308:C312" si="2">B308/$B$310</f>
        <v>0.80084745762711851</v>
      </c>
    </row>
    <row r="309" spans="1:5">
      <c r="A309">
        <v>3</v>
      </c>
      <c r="B309">
        <v>22.4</v>
      </c>
      <c r="C309">
        <f t="shared" si="2"/>
        <v>0.94915254237288127</v>
      </c>
    </row>
    <row r="310" spans="1:5">
      <c r="A310">
        <v>4</v>
      </c>
      <c r="B310">
        <v>23.6</v>
      </c>
      <c r="C310">
        <f t="shared" si="2"/>
        <v>1</v>
      </c>
    </row>
    <row r="311" spans="1:5">
      <c r="A311">
        <v>5</v>
      </c>
      <c r="B311">
        <v>27.1</v>
      </c>
      <c r="C311">
        <f t="shared" si="2"/>
        <v>1.1483050847457628</v>
      </c>
    </row>
    <row r="312" spans="1:5">
      <c r="A312">
        <v>6</v>
      </c>
      <c r="B312">
        <v>30.7</v>
      </c>
      <c r="C312">
        <f t="shared" si="2"/>
        <v>1.3008474576271185</v>
      </c>
    </row>
    <row r="314" spans="1:5">
      <c r="A314" t="s">
        <v>472</v>
      </c>
    </row>
    <row r="315" spans="1:5">
      <c r="B315" t="s">
        <v>476</v>
      </c>
      <c r="C315" t="s">
        <v>477</v>
      </c>
    </row>
    <row r="316" spans="1:5">
      <c r="B316">
        <v>54923</v>
      </c>
      <c r="C316">
        <f>2*1/1000000000000000*B316^3-1/10000000000*B316^2+5*1/1000000*B316+0.66</f>
        <v>0.96431581275693401</v>
      </c>
    </row>
    <row r="318" spans="1:5">
      <c r="B318" t="s">
        <v>478</v>
      </c>
      <c r="C318" t="s">
        <v>479</v>
      </c>
    </row>
    <row r="319" spans="1:5">
      <c r="A319" s="1"/>
      <c r="B319">
        <v>46300</v>
      </c>
      <c r="C319">
        <f>C316*B319</f>
        <v>44647.822130646047</v>
      </c>
    </row>
    <row r="320" spans="1:5">
      <c r="A320" s="1"/>
    </row>
    <row r="321" spans="1:8">
      <c r="B321" t="s">
        <v>475</v>
      </c>
      <c r="C321" t="s">
        <v>477</v>
      </c>
      <c r="D321" t="s">
        <v>480</v>
      </c>
      <c r="E321" t="s">
        <v>479</v>
      </c>
      <c r="F321" t="s">
        <v>481</v>
      </c>
      <c r="G321" t="s">
        <v>482</v>
      </c>
    </row>
    <row r="322" spans="1:8">
      <c r="A322" s="1" t="s">
        <v>473</v>
      </c>
      <c r="B322">
        <f>発電!E9</f>
        <v>0</v>
      </c>
      <c r="C322">
        <f t="shared" ref="C322:C323" si="3">2*1/1000000000000000*B322^3-1/10000000000*B322^2+5*1/1000000*B322+0.66</f>
        <v>0.66</v>
      </c>
      <c r="D322">
        <f>合計!D26*9.76</f>
        <v>118179.99999999999</v>
      </c>
      <c r="E322">
        <f>C322*D322</f>
        <v>77998.799999999988</v>
      </c>
      <c r="F322">
        <f>D322-E322</f>
        <v>40181.199999999997</v>
      </c>
      <c r="G322">
        <f>B322-F322</f>
        <v>-40181.199999999997</v>
      </c>
    </row>
    <row r="323" spans="1:8">
      <c r="A323" s="1" t="s">
        <v>474</v>
      </c>
      <c r="B323">
        <f>発電!I9</f>
        <v>41018</v>
      </c>
      <c r="C323">
        <f t="shared" si="3"/>
        <v>0.83486599531566408</v>
      </c>
      <c r="D323">
        <f>合計!F26*9.76</f>
        <v>29521.969404152544</v>
      </c>
      <c r="E323">
        <f>C323*D323</f>
        <v>24646.888370276396</v>
      </c>
      <c r="F323">
        <f>D323-E323</f>
        <v>4875.0810338761476</v>
      </c>
      <c r="G323">
        <f>B323-F323</f>
        <v>36142.918966123849</v>
      </c>
    </row>
    <row r="325" spans="1:8">
      <c r="A325" t="s">
        <v>483</v>
      </c>
    </row>
    <row r="326" spans="1:8">
      <c r="B326" t="str">
        <f>F321</f>
        <v>自家消費量</v>
      </c>
      <c r="C326" t="s">
        <v>484</v>
      </c>
      <c r="D326" t="str">
        <f>G321</f>
        <v>売電</v>
      </c>
      <c r="E326" t="s">
        <v>484</v>
      </c>
      <c r="F326" t="s">
        <v>485</v>
      </c>
      <c r="G326" t="s">
        <v>487</v>
      </c>
      <c r="H326" t="s">
        <v>488</v>
      </c>
    </row>
    <row r="327" spans="1:8">
      <c r="A327" s="1" t="s">
        <v>473</v>
      </c>
      <c r="B327">
        <f>F322/9.76</f>
        <v>4116.9262295081962</v>
      </c>
      <c r="C327">
        <f>B327*光熱費の計算!D70</f>
        <v>107040.0819672131</v>
      </c>
      <c r="D327">
        <f>G322/9.76</f>
        <v>-4116.9262295081962</v>
      </c>
      <c r="E327">
        <f>D327*発電!E11</f>
        <v>-98806.229508196702</v>
      </c>
      <c r="F327">
        <f>C327+E327</f>
        <v>8233.8524590164016</v>
      </c>
      <c r="G327" s="138">
        <f>合計!D27</f>
        <v>367300</v>
      </c>
      <c r="H327" s="138">
        <f>G327-F327</f>
        <v>359066.14754098363</v>
      </c>
    </row>
    <row r="328" spans="1:8">
      <c r="A328" s="1" t="s">
        <v>474</v>
      </c>
      <c r="B328">
        <f>F323/9.76</f>
        <v>499.49600756927742</v>
      </c>
      <c r="C328">
        <f>B328*光熱費の計算!E70</f>
        <v>12986.896196801214</v>
      </c>
      <c r="D328">
        <f>G323/9.76</f>
        <v>3703.1679268569519</v>
      </c>
      <c r="E328">
        <f>D328*発電!I11</f>
        <v>88876.030244566849</v>
      </c>
      <c r="F328">
        <f>C328+E328</f>
        <v>101862.92644136806</v>
      </c>
      <c r="G328" s="138">
        <f>合計!F27</f>
        <v>131700</v>
      </c>
      <c r="H328" s="138">
        <f>G328-F328</f>
        <v>29837.073558631935</v>
      </c>
    </row>
    <row r="330" spans="1:8">
      <c r="A330" t="s">
        <v>486</v>
      </c>
    </row>
    <row r="331" spans="1:8">
      <c r="B331" t="s">
        <v>475</v>
      </c>
      <c r="C331" t="s">
        <v>484</v>
      </c>
      <c r="D331" t="str">
        <f>G326</f>
        <v>削減前光熱費</v>
      </c>
      <c r="E331" t="s">
        <v>488</v>
      </c>
    </row>
    <row r="332" spans="1:8">
      <c r="A332" s="1" t="s">
        <v>473</v>
      </c>
      <c r="B332">
        <f>B322/9.76</f>
        <v>0</v>
      </c>
      <c r="C332">
        <f>B332*光熱費の計算!D70</f>
        <v>0</v>
      </c>
      <c r="D332">
        <f t="shared" ref="D332:D333" si="4">G327</f>
        <v>367300</v>
      </c>
      <c r="E332" s="138">
        <f>D332-C332</f>
        <v>367300</v>
      </c>
    </row>
    <row r="333" spans="1:8">
      <c r="A333" s="1" t="s">
        <v>474</v>
      </c>
      <c r="B333">
        <f>B323/9.76</f>
        <v>4202.6639344262294</v>
      </c>
      <c r="C333">
        <f>B333*光熱費の計算!E70</f>
        <v>109269.26229508196</v>
      </c>
      <c r="D333">
        <f t="shared" si="4"/>
        <v>131700</v>
      </c>
      <c r="E333" s="138">
        <f>D333-C333</f>
        <v>22430.737704918036</v>
      </c>
    </row>
    <row r="335" spans="1:8">
      <c r="A335" t="s">
        <v>489</v>
      </c>
    </row>
    <row r="336" spans="1:8">
      <c r="A336" s="1" t="s">
        <v>473</v>
      </c>
      <c r="B336">
        <f>IF(発電!E10="蓄電池は導入せず、余剰電力を売電する",計算過程!H327,計算過程!E332)</f>
        <v>359066.14754098363</v>
      </c>
      <c r="C336">
        <f>ROUND(B336,-2)</f>
        <v>359100</v>
      </c>
    </row>
    <row r="337" spans="1:3">
      <c r="A337" s="1" t="s">
        <v>474</v>
      </c>
      <c r="B337">
        <f>IF(発電!I10="蓄電池は導入せず、余剰電力を売電する",計算過程!H328,計算過程!E333)</f>
        <v>29837.073558631935</v>
      </c>
      <c r="C337">
        <f>ROUND(B337,-2)</f>
        <v>29800</v>
      </c>
    </row>
    <row r="339" spans="1:3">
      <c r="A339" t="s">
        <v>492</v>
      </c>
    </row>
    <row r="340" spans="1:3">
      <c r="A340" t="s">
        <v>493</v>
      </c>
    </row>
  </sheetData>
  <mergeCells count="11">
    <mergeCell ref="Q6:S6"/>
    <mergeCell ref="B6:D6"/>
    <mergeCell ref="E6:G6"/>
    <mergeCell ref="H6:J6"/>
    <mergeCell ref="K6:M6"/>
    <mergeCell ref="N6:P6"/>
    <mergeCell ref="D13:E13"/>
    <mergeCell ref="D14:E14"/>
    <mergeCell ref="D15:E15"/>
    <mergeCell ref="D16:E16"/>
    <mergeCell ref="D29:G29"/>
  </mergeCells>
  <phoneticPr fontId="1"/>
  <conditionalFormatting sqref="B17:C17">
    <cfRule type="expression" dxfId="4" priority="9">
      <formula>$B$53=1</formula>
    </cfRule>
  </conditionalFormatting>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18" id="{062814ED-6DB2-40AD-9E5D-5EC880895CC0}">
            <xm:f>暖房!$X$14="黒"</xm:f>
            <x14:dxf>
              <fill>
                <patternFill>
                  <bgColor theme="1"/>
                </patternFill>
              </fill>
            </x14:dxf>
          </x14:cfRule>
          <x14:cfRule type="expression" priority="19" id="{834EC998-D725-4725-A38E-B39351C5D6CB}">
            <xm:f>暖房!$X$14="黒"</xm:f>
            <x14:dxf>
              <fill>
                <patternFill>
                  <bgColor theme="1"/>
                </patternFill>
              </fill>
            </x14:dxf>
          </x14:cfRule>
          <x14:cfRule type="expression" priority="20" id="{C2BA5821-E8D5-4193-A249-9E016A002D20}">
            <xm:f>暖房!$X$14="黒"</xm:f>
            <x14:dxf>
              <fill>
                <patternFill>
                  <bgColor theme="1"/>
                </patternFill>
              </fill>
            </x14:dxf>
          </x14:cfRule>
          <xm:sqref>B17:C17</xm:sqref>
        </x14:conditionalFormatting>
        <x14:conditionalFormatting xmlns:xm="http://schemas.microsoft.com/office/excel/2006/main">
          <x14:cfRule type="expression" priority="21" id="{42303F7E-EF72-43B9-B609-1C89A598BBCE}">
            <xm:f>暖房!$X$14="黒"</xm:f>
            <x14:dxf>
              <fill>
                <patternFill>
                  <bgColor theme="1"/>
                </patternFill>
              </fill>
            </x14:dxf>
          </x14:cfRule>
          <xm:sqref>I53</xm:sqref>
        </x14:conditionalFormatting>
      </x14:conditionalFormatting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3"/>
  <sheetViews>
    <sheetView topLeftCell="C37" workbookViewId="0">
      <selection activeCell="Q55" sqref="Q55"/>
    </sheetView>
  </sheetViews>
  <sheetFormatPr baseColWidth="12" defaultColWidth="8.83203125" defaultRowHeight="17" x14ac:dyDescent="0"/>
  <cols>
    <col min="1" max="1" width="11.5" customWidth="1"/>
    <col min="2" max="2" width="36" customWidth="1"/>
    <col min="12" max="12" width="10.33203125" customWidth="1"/>
    <col min="20" max="20" width="9.5" bestFit="1" customWidth="1"/>
  </cols>
  <sheetData>
    <row r="1" spans="1:21">
      <c r="A1" t="s">
        <v>2</v>
      </c>
    </row>
    <row r="2" spans="1:21">
      <c r="B2" t="s">
        <v>142</v>
      </c>
      <c r="C2">
        <v>9.76</v>
      </c>
      <c r="M2" t="s">
        <v>252</v>
      </c>
      <c r="N2" t="s">
        <v>253</v>
      </c>
    </row>
    <row r="3" spans="1:21">
      <c r="B3" t="s">
        <v>143</v>
      </c>
      <c r="C3">
        <v>46.045999999999999</v>
      </c>
      <c r="G3" t="s">
        <v>171</v>
      </c>
      <c r="L3" t="s">
        <v>251</v>
      </c>
      <c r="M3">
        <f>IF(基本情報!$D$10="オール電化",基本情報!$G$17,基本情報!$G$19)</f>
        <v>26</v>
      </c>
      <c r="N3">
        <f>IF(基本情報!$F$10="オール電化",基本情報!$G$17,基本情報!$G$19)</f>
        <v>26</v>
      </c>
    </row>
    <row r="4" spans="1:21">
      <c r="B4" t="s">
        <v>144</v>
      </c>
      <c r="C4">
        <v>100.47</v>
      </c>
      <c r="G4" t="s">
        <v>172</v>
      </c>
      <c r="H4" t="s">
        <v>173</v>
      </c>
    </row>
    <row r="5" spans="1:21">
      <c r="B5" t="s">
        <v>145</v>
      </c>
      <c r="C5">
        <v>36.700000000000003</v>
      </c>
      <c r="G5">
        <v>0.45</v>
      </c>
      <c r="H5">
        <v>0.05</v>
      </c>
      <c r="I5" t="s">
        <v>174</v>
      </c>
    </row>
    <row r="6" spans="1:21">
      <c r="B6" t="s">
        <v>146</v>
      </c>
      <c r="C6">
        <v>15.5</v>
      </c>
      <c r="F6" t="s">
        <v>175</v>
      </c>
      <c r="G6">
        <f>G5/(G5+H5)</f>
        <v>0.9</v>
      </c>
      <c r="H6">
        <v>0.1</v>
      </c>
    </row>
    <row r="7" spans="1:21">
      <c r="B7" t="s">
        <v>147</v>
      </c>
      <c r="C7">
        <v>12.5</v>
      </c>
    </row>
    <row r="8" spans="1:21">
      <c r="B8" t="s">
        <v>148</v>
      </c>
      <c r="C8">
        <v>9.76</v>
      </c>
      <c r="D8">
        <v>46.045999999999999</v>
      </c>
    </row>
    <row r="9" spans="1:21">
      <c r="B9" t="s">
        <v>149</v>
      </c>
      <c r="C9">
        <v>9.76</v>
      </c>
      <c r="D9">
        <v>100.47</v>
      </c>
    </row>
    <row r="10" spans="1:21">
      <c r="B10" t="s">
        <v>150</v>
      </c>
      <c r="C10">
        <v>9.76</v>
      </c>
      <c r="D10">
        <v>36.700000000000003</v>
      </c>
    </row>
    <row r="12" spans="1:21">
      <c r="E12" t="s">
        <v>169</v>
      </c>
      <c r="G12" t="s">
        <v>157</v>
      </c>
      <c r="I12" s="448" t="s">
        <v>158</v>
      </c>
      <c r="J12" s="448"/>
      <c r="K12" t="s">
        <v>176</v>
      </c>
      <c r="S12" t="s">
        <v>320</v>
      </c>
      <c r="T12" t="s">
        <v>321</v>
      </c>
    </row>
    <row r="13" spans="1:21">
      <c r="A13" t="s">
        <v>159</v>
      </c>
      <c r="E13" s="4">
        <f>暖房!D25</f>
        <v>18.799999999999997</v>
      </c>
      <c r="F13" s="14" t="s">
        <v>170</v>
      </c>
      <c r="M13" t="s">
        <v>194</v>
      </c>
      <c r="T13" s="33">
        <f>IF(U13="エアコン（2005年以前）＜標準＞",S14,IF(U13="エアコン（2005年以降）",S15,IF(U13="ファンヒーター（都市ガス）",S16,IF(U13="ファンヒーター（LPガス）",S17,IF(U13="ファンヒーター（灯油）",S18,IF(U13="電気床暖房",S19,IF(U13="温水床暖房（都市ガス）",S20,IF(U13="温水床暖房（LPガス）",S21,IF(U13="温水床暖房（灯油）",S22,IF(U13="温水床暖房（HP）",S23,IF(U13="エアコン＋電気カーペット/オイルヒーター",S24,IF(U13="エアコン＋こたつ",S25,IF(U13="ファンヒーター（都市ガス）＋こたつ",S26,IF(U13="ファンヒーター（LPガス）＋こたつ",S27,IF(U13="ファンヒーター（灯油）＋こたつ",S28,IF(U13="薪ストーブ（全日、主居室のみ）",S29,IF(U13="ペレットストーブ",S30)))))))))))))))))</f>
        <v>1926.2295081967209</v>
      </c>
      <c r="U13" t="str">
        <f>暖房!D17</f>
        <v>エアコン（2005年以前）＜標準＞</v>
      </c>
    </row>
    <row r="14" spans="1:21">
      <c r="B14" t="s">
        <v>501</v>
      </c>
      <c r="D14">
        <v>1</v>
      </c>
      <c r="E14">
        <f>E13</f>
        <v>18.799999999999997</v>
      </c>
      <c r="F14">
        <v>9.76</v>
      </c>
      <c r="G14">
        <v>0.8</v>
      </c>
      <c r="H14">
        <f>E14*1000/F14*G14*M3</f>
        <v>40065.573770491799</v>
      </c>
      <c r="I14">
        <v>0.2</v>
      </c>
      <c r="J14">
        <f>E14*1000*I14/$C$2*M3</f>
        <v>10016.39344262295</v>
      </c>
      <c r="K14">
        <f>H14+J14</f>
        <v>50081.967213114753</v>
      </c>
      <c r="M14">
        <f>K34</f>
        <v>8757.2626721311499</v>
      </c>
      <c r="O14" t="s">
        <v>180</v>
      </c>
      <c r="S14">
        <f>H14/$M$3+J14/$M$3</f>
        <v>1926.2295081967209</v>
      </c>
    </row>
    <row r="15" spans="1:21">
      <c r="B15" t="s">
        <v>399</v>
      </c>
      <c r="D15">
        <v>0.93</v>
      </c>
      <c r="E15">
        <f t="shared" ref="E15:E30" si="0">E14</f>
        <v>18.799999999999997</v>
      </c>
      <c r="F15">
        <v>9.76</v>
      </c>
      <c r="G15">
        <v>0.8</v>
      </c>
      <c r="H15">
        <f>H14</f>
        <v>40065.573770491799</v>
      </c>
      <c r="I15">
        <v>0.2</v>
      </c>
      <c r="J15">
        <f>J14</f>
        <v>10016.39344262295</v>
      </c>
      <c r="K15">
        <f t="shared" ref="K15:K30" si="1">H15+J15</f>
        <v>50081.967213114753</v>
      </c>
      <c r="M15">
        <f t="shared" ref="M15:M30" si="2">K35</f>
        <v>8757.2626721311499</v>
      </c>
      <c r="O15" t="s">
        <v>181</v>
      </c>
      <c r="S15">
        <f>H15/$M$3+J15/$M$3</f>
        <v>1926.2295081967209</v>
      </c>
    </row>
    <row r="16" spans="1:21">
      <c r="B16" t="s">
        <v>160</v>
      </c>
      <c r="D16">
        <v>1.2</v>
      </c>
      <c r="E16">
        <f t="shared" si="0"/>
        <v>18.799999999999997</v>
      </c>
      <c r="F16">
        <v>46.045999999999999</v>
      </c>
      <c r="G16">
        <v>0.8</v>
      </c>
      <c r="H16">
        <f>E16*1000/F16*G16*基本情報!$G$20</f>
        <v>48994.483777092464</v>
      </c>
      <c r="I16">
        <v>0.2</v>
      </c>
      <c r="J16">
        <f t="shared" ref="J16:J30" si="3">J15</f>
        <v>10016.39344262295</v>
      </c>
      <c r="K16">
        <f t="shared" si="1"/>
        <v>59010.877219715418</v>
      </c>
      <c r="M16">
        <f t="shared" si="2"/>
        <v>10318.559375411336</v>
      </c>
      <c r="O16" t="s">
        <v>182</v>
      </c>
      <c r="P16">
        <f>暖房!F13*計算過程!C41*計算過程!B76</f>
        <v>18.799999999999997</v>
      </c>
      <c r="Q16" t="s">
        <v>183</v>
      </c>
      <c r="S16">
        <f>J16/$M$3</f>
        <v>385.2459016393442</v>
      </c>
    </row>
    <row r="17" spans="2:20">
      <c r="B17" t="s">
        <v>161</v>
      </c>
      <c r="D17">
        <v>1.2</v>
      </c>
      <c r="E17">
        <f t="shared" si="0"/>
        <v>18.799999999999997</v>
      </c>
      <c r="F17">
        <v>100.47</v>
      </c>
      <c r="G17">
        <v>0.8</v>
      </c>
      <c r="H17">
        <f>E17*1000/F17*G17*基本情報!$G$21</f>
        <v>74848.213397033935</v>
      </c>
      <c r="I17">
        <v>0.2</v>
      </c>
      <c r="J17">
        <f t="shared" si="3"/>
        <v>10016.39344262295</v>
      </c>
      <c r="K17">
        <f t="shared" si="1"/>
        <v>84864.606839656888</v>
      </c>
      <c r="M17">
        <f t="shared" si="2"/>
        <v>14839.306341532836</v>
      </c>
      <c r="O17" t="s">
        <v>184</v>
      </c>
      <c r="P17">
        <f>P16*1000/C2</f>
        <v>1926.2295081967209</v>
      </c>
      <c r="Q17" t="s">
        <v>185</v>
      </c>
      <c r="S17">
        <f t="shared" ref="S17:S18" si="4">J17/$M$3</f>
        <v>385.2459016393442</v>
      </c>
    </row>
    <row r="18" spans="2:20">
      <c r="B18" t="s">
        <v>162</v>
      </c>
      <c r="D18">
        <v>1.2</v>
      </c>
      <c r="E18">
        <f t="shared" si="0"/>
        <v>18.799999999999997</v>
      </c>
      <c r="F18">
        <v>36.700000000000003</v>
      </c>
      <c r="G18">
        <v>0.8</v>
      </c>
      <c r="H18">
        <f>E18*1000/F18*G18*基本情報!$G$22</f>
        <v>40980.926430517706</v>
      </c>
      <c r="I18">
        <v>0.2</v>
      </c>
      <c r="J18">
        <f t="shared" si="3"/>
        <v>10016.39344262295</v>
      </c>
      <c r="K18">
        <f t="shared" si="1"/>
        <v>50997.319873140659</v>
      </c>
      <c r="M18">
        <f t="shared" si="2"/>
        <v>8917.3199567695556</v>
      </c>
      <c r="O18" t="s">
        <v>186</v>
      </c>
      <c r="P18">
        <v>2.7</v>
      </c>
      <c r="S18">
        <f t="shared" si="4"/>
        <v>385.2459016393442</v>
      </c>
    </row>
    <row r="19" spans="2:20">
      <c r="B19" t="s">
        <v>18</v>
      </c>
      <c r="D19">
        <v>1.8</v>
      </c>
      <c r="E19">
        <f t="shared" si="0"/>
        <v>18.799999999999997</v>
      </c>
      <c r="F19">
        <v>9.76</v>
      </c>
      <c r="G19">
        <v>0.8</v>
      </c>
      <c r="H19">
        <f>E19*1000/F19*G19*M3</f>
        <v>40065.573770491799</v>
      </c>
      <c r="I19">
        <v>0.2</v>
      </c>
      <c r="J19">
        <f t="shared" si="3"/>
        <v>10016.39344262295</v>
      </c>
      <c r="K19">
        <f t="shared" si="1"/>
        <v>50081.967213114753</v>
      </c>
      <c r="M19">
        <f t="shared" si="2"/>
        <v>8757.2626721311499</v>
      </c>
      <c r="O19" t="s">
        <v>192</v>
      </c>
      <c r="P19">
        <f>P17*P18</f>
        <v>5200.8196721311469</v>
      </c>
      <c r="Q19" t="s">
        <v>193</v>
      </c>
      <c r="S19">
        <f>H19/$M$3+J19/$M$3</f>
        <v>1926.2295081967209</v>
      </c>
    </row>
    <row r="20" spans="2:20">
      <c r="B20" t="s">
        <v>163</v>
      </c>
      <c r="D20">
        <v>2</v>
      </c>
      <c r="E20">
        <f t="shared" si="0"/>
        <v>18.799999999999997</v>
      </c>
      <c r="F20">
        <v>46.045999999999999</v>
      </c>
      <c r="G20">
        <v>0.8</v>
      </c>
      <c r="H20">
        <f>E20*1000/F20*G20*基本情報!$G$20</f>
        <v>48994.483777092464</v>
      </c>
      <c r="I20">
        <v>0.2</v>
      </c>
      <c r="J20">
        <f t="shared" si="3"/>
        <v>10016.39344262295</v>
      </c>
      <c r="K20">
        <f t="shared" si="1"/>
        <v>59010.877219715418</v>
      </c>
      <c r="M20">
        <f t="shared" si="2"/>
        <v>10318.559375411336</v>
      </c>
      <c r="O20" t="s">
        <v>187</v>
      </c>
      <c r="P20">
        <f>P19*3.6</f>
        <v>18722.950819672129</v>
      </c>
      <c r="Q20" t="s">
        <v>188</v>
      </c>
      <c r="S20">
        <f t="shared" ref="S20:S23" si="5">J20/$M$3</f>
        <v>385.2459016393442</v>
      </c>
    </row>
    <row r="21" spans="2:20">
      <c r="B21" t="s">
        <v>164</v>
      </c>
      <c r="D21">
        <v>2</v>
      </c>
      <c r="E21">
        <f t="shared" si="0"/>
        <v>18.799999999999997</v>
      </c>
      <c r="F21">
        <v>100.47</v>
      </c>
      <c r="G21">
        <v>0.8</v>
      </c>
      <c r="H21">
        <f>E21*1000/F21*G21*基本情報!$G$21</f>
        <v>74848.213397033935</v>
      </c>
      <c r="I21">
        <v>0.2</v>
      </c>
      <c r="J21">
        <f t="shared" si="3"/>
        <v>10016.39344262295</v>
      </c>
      <c r="K21">
        <f t="shared" si="1"/>
        <v>84864.606839656888</v>
      </c>
      <c r="M21">
        <f t="shared" si="2"/>
        <v>14839.306341532836</v>
      </c>
      <c r="S21">
        <f t="shared" si="5"/>
        <v>385.2459016393442</v>
      </c>
    </row>
    <row r="22" spans="2:20">
      <c r="B22" t="s">
        <v>165</v>
      </c>
      <c r="D22">
        <v>2</v>
      </c>
      <c r="E22">
        <f t="shared" si="0"/>
        <v>18.799999999999997</v>
      </c>
      <c r="F22">
        <v>36.700000000000003</v>
      </c>
      <c r="G22">
        <v>0.8</v>
      </c>
      <c r="H22">
        <f>E22*1000/F22*G22*基本情報!$G$22</f>
        <v>40980.926430517706</v>
      </c>
      <c r="I22">
        <v>0.2</v>
      </c>
      <c r="J22">
        <f t="shared" si="3"/>
        <v>10016.39344262295</v>
      </c>
      <c r="K22">
        <f t="shared" si="1"/>
        <v>50997.319873140659</v>
      </c>
      <c r="M22">
        <f t="shared" si="2"/>
        <v>8917.3199567695556</v>
      </c>
      <c r="S22">
        <f t="shared" si="5"/>
        <v>385.2459016393442</v>
      </c>
    </row>
    <row r="23" spans="2:20">
      <c r="B23" t="s">
        <v>19</v>
      </c>
      <c r="D23">
        <v>1.4</v>
      </c>
      <c r="E23">
        <f t="shared" si="0"/>
        <v>18.799999999999997</v>
      </c>
      <c r="F23">
        <v>9.76</v>
      </c>
      <c r="G23">
        <v>0.8</v>
      </c>
      <c r="H23">
        <f>E23*1000/F23*G23*基本情報!$G$17</f>
        <v>43147.540983606552</v>
      </c>
      <c r="I23">
        <v>0.2</v>
      </c>
      <c r="J23">
        <f t="shared" si="3"/>
        <v>10016.39344262295</v>
      </c>
      <c r="K23">
        <f t="shared" si="1"/>
        <v>53163.934426229505</v>
      </c>
      <c r="M23">
        <f t="shared" si="2"/>
        <v>9296.1711442622982</v>
      </c>
      <c r="S23">
        <f t="shared" si="5"/>
        <v>385.2459016393442</v>
      </c>
    </row>
    <row r="24" spans="2:20">
      <c r="B24" t="s">
        <v>20</v>
      </c>
      <c r="D24">
        <v>1.5</v>
      </c>
      <c r="E24">
        <f t="shared" si="0"/>
        <v>18.799999999999997</v>
      </c>
      <c r="F24">
        <v>9.76</v>
      </c>
      <c r="G24">
        <v>0.8</v>
      </c>
      <c r="H24">
        <f>E24*1000/F24*G24*M3</f>
        <v>40065.573770491799</v>
      </c>
      <c r="I24">
        <v>0.2</v>
      </c>
      <c r="J24">
        <f t="shared" si="3"/>
        <v>10016.39344262295</v>
      </c>
      <c r="K24">
        <f t="shared" si="1"/>
        <v>50081.967213114753</v>
      </c>
      <c r="M24">
        <f t="shared" si="2"/>
        <v>8757.2626721311499</v>
      </c>
      <c r="S24">
        <f t="shared" ref="S24:S25" si="6">H24/$M$3+J24/$M$3</f>
        <v>1926.2295081967209</v>
      </c>
    </row>
    <row r="25" spans="2:20">
      <c r="B25" t="s">
        <v>21</v>
      </c>
      <c r="D25">
        <v>0.66</v>
      </c>
      <c r="E25">
        <f t="shared" si="0"/>
        <v>18.799999999999997</v>
      </c>
      <c r="F25">
        <v>9.76</v>
      </c>
      <c r="G25">
        <v>0.8</v>
      </c>
      <c r="H25">
        <f>E25*1000/F25*G25*M3</f>
        <v>40065.573770491799</v>
      </c>
      <c r="I25">
        <v>0.2</v>
      </c>
      <c r="J25">
        <f t="shared" si="3"/>
        <v>10016.39344262295</v>
      </c>
      <c r="K25">
        <f t="shared" si="1"/>
        <v>50081.967213114753</v>
      </c>
      <c r="M25">
        <f t="shared" si="2"/>
        <v>8757.2626721311499</v>
      </c>
      <c r="S25">
        <f t="shared" si="6"/>
        <v>1926.2295081967209</v>
      </c>
    </row>
    <row r="26" spans="2:20">
      <c r="B26" t="s">
        <v>166</v>
      </c>
      <c r="D26">
        <v>0.7</v>
      </c>
      <c r="E26">
        <f t="shared" si="0"/>
        <v>18.799999999999997</v>
      </c>
      <c r="F26">
        <v>46.045999999999999</v>
      </c>
      <c r="G26">
        <v>0.8</v>
      </c>
      <c r="H26">
        <f>E26*G26*1000/F26*基本情報!G20+E26*1000/9.76*G26*$H$6*M3</f>
        <v>53001.041154141654</v>
      </c>
      <c r="I26">
        <v>0.2</v>
      </c>
      <c r="J26">
        <f t="shared" si="3"/>
        <v>10016.39344262295</v>
      </c>
      <c r="K26">
        <f t="shared" si="1"/>
        <v>63017.434596764608</v>
      </c>
      <c r="M26">
        <f t="shared" si="2"/>
        <v>11019.140389181826</v>
      </c>
      <c r="S26">
        <f>E26*1000/9.76*G26*$H$6+J26/$M$3</f>
        <v>539.34426229508188</v>
      </c>
    </row>
    <row r="27" spans="2:20">
      <c r="B27" t="s">
        <v>167</v>
      </c>
      <c r="D27">
        <v>0.7</v>
      </c>
      <c r="E27">
        <f t="shared" si="0"/>
        <v>18.799999999999997</v>
      </c>
      <c r="F27">
        <v>100.47</v>
      </c>
      <c r="G27">
        <v>0.8</v>
      </c>
      <c r="H27">
        <f>E27*G27*1000/F27*基本情報!G21+E27*1000/9.76*G27*$H$6*M3</f>
        <v>78854.770774083125</v>
      </c>
      <c r="I27">
        <v>0.2</v>
      </c>
      <c r="J27">
        <f t="shared" si="3"/>
        <v>10016.39344262295</v>
      </c>
      <c r="K27">
        <f t="shared" si="1"/>
        <v>88871.164216706078</v>
      </c>
      <c r="M27">
        <f t="shared" si="2"/>
        <v>15539.887355303326</v>
      </c>
      <c r="S27">
        <f t="shared" ref="S27:S28" si="7">E27*1000/9.76*G27*$H$6+J27/$M$3</f>
        <v>539.34426229508188</v>
      </c>
    </row>
    <row r="28" spans="2:20">
      <c r="B28" t="s">
        <v>168</v>
      </c>
      <c r="D28">
        <v>0.7</v>
      </c>
      <c r="E28">
        <f t="shared" si="0"/>
        <v>18.799999999999997</v>
      </c>
      <c r="F28">
        <v>36.700000000000003</v>
      </c>
      <c r="G28">
        <v>0.8</v>
      </c>
      <c r="H28">
        <f>E28*G28*1000/F28*基本情報!G22+E28*1000/9.76*G28*$H$6*M3</f>
        <v>44987.483807566889</v>
      </c>
      <c r="I28">
        <v>0.2</v>
      </c>
      <c r="J28">
        <f t="shared" si="3"/>
        <v>10016.39344262295</v>
      </c>
      <c r="K28">
        <f t="shared" si="1"/>
        <v>55003.877250189835</v>
      </c>
      <c r="M28">
        <f t="shared" si="2"/>
        <v>9617.9009705400495</v>
      </c>
      <c r="S28">
        <f t="shared" si="7"/>
        <v>539.34426229508188</v>
      </c>
    </row>
    <row r="29" spans="2:20">
      <c r="B29" t="s">
        <v>23</v>
      </c>
      <c r="D29">
        <v>0.2</v>
      </c>
      <c r="E29">
        <f>$P$20/1000</f>
        <v>18.722950819672128</v>
      </c>
      <c r="F29">
        <v>15.5</v>
      </c>
      <c r="G29">
        <v>0.8</v>
      </c>
      <c r="H29">
        <f>E29*1000*G29/F29*基本情報!$G$23</f>
        <v>144951.8773135907</v>
      </c>
      <c r="I29">
        <v>0.2</v>
      </c>
      <c r="J29">
        <f t="shared" si="3"/>
        <v>10016.39344262295</v>
      </c>
      <c r="K29">
        <f t="shared" si="1"/>
        <v>154968.27075621363</v>
      </c>
      <c r="M29">
        <f t="shared" si="2"/>
        <v>42337.978182231636</v>
      </c>
      <c r="S29">
        <f t="shared" ref="S29:S30" si="8">J29/$M$3</f>
        <v>385.2459016393442</v>
      </c>
    </row>
    <row r="30" spans="2:20">
      <c r="B30" t="s">
        <v>24</v>
      </c>
      <c r="D30">
        <v>0.8</v>
      </c>
      <c r="E30">
        <f t="shared" si="0"/>
        <v>18.722950819672128</v>
      </c>
      <c r="F30">
        <v>12.5</v>
      </c>
      <c r="G30">
        <v>0.8</v>
      </c>
      <c r="H30">
        <f>E30*1000*G30/F30*基本情報!$G$24</f>
        <v>71896.131147540989</v>
      </c>
      <c r="I30">
        <v>0.2</v>
      </c>
      <c r="J30">
        <f t="shared" si="3"/>
        <v>10016.39344262295</v>
      </c>
      <c r="K30">
        <f t="shared" si="1"/>
        <v>81912.524590163943</v>
      </c>
      <c r="M30">
        <f t="shared" si="2"/>
        <v>21882.369255737711</v>
      </c>
      <c r="S30">
        <f t="shared" si="8"/>
        <v>385.2459016393442</v>
      </c>
    </row>
    <row r="32" spans="2:20">
      <c r="E32" t="s">
        <v>141</v>
      </c>
      <c r="G32" t="s">
        <v>157</v>
      </c>
      <c r="I32" s="448" t="s">
        <v>158</v>
      </c>
      <c r="J32" s="448"/>
      <c r="K32" t="s">
        <v>10</v>
      </c>
      <c r="S32" t="s">
        <v>320</v>
      </c>
      <c r="T32" t="s">
        <v>321</v>
      </c>
    </row>
    <row r="33" spans="1:21">
      <c r="A33" t="s">
        <v>33</v>
      </c>
      <c r="E33" s="4">
        <f>暖房!G25</f>
        <v>3.2873416800000008</v>
      </c>
      <c r="F33" s="14" t="s">
        <v>12</v>
      </c>
      <c r="T33" s="33">
        <f>IF(U33="エアコン（2005年以前）＜標準＞",S34,IF(U33="エアコン（2005年以降）",S35,IF(U33="ファンヒーター（都市ガス）",S36,IF(U33="ファンヒーター（LPガス）",S37,IF(U33="ファンヒーター（灯油）",S38,IF(U33="電気床暖房",S39,IF(U33="温水床暖房（都市ガス）",S40,IF(U33="温水床暖房（LPガス）",S41,IF(U33="温水床暖房（灯油）",S42,IF(U33="温水床暖房（HP）",S43,IF(U33="エアコン＋電気カーペット/オイルヒーター",S44,IF(U33="エアコン＋こたつ",S45,IF(U33="ファンヒーター（都市ガス）＋こたつ",S46,IF(U33="ファンヒーター（LPガス）＋こたつ",S47,IF(U33="ファンヒーター（灯油）＋こたつ",S48,IF(U33="薪ストーブ（全日、主居室のみ）",S49,IF(U33="ペレットストーブ",S50)))))))))))))))))</f>
        <v>336.81779508196735</v>
      </c>
      <c r="U33" t="str">
        <f>暖房!G17</f>
        <v>エアコン（2005年以降）</v>
      </c>
    </row>
    <row r="34" spans="1:21">
      <c r="B34" t="s">
        <v>501</v>
      </c>
      <c r="D34">
        <v>1</v>
      </c>
      <c r="E34">
        <f>E33</f>
        <v>3.2873416800000008</v>
      </c>
      <c r="F34">
        <v>9.76</v>
      </c>
      <c r="G34">
        <v>0.8</v>
      </c>
      <c r="H34">
        <f>E34*1000/F34*G34*N3</f>
        <v>7005.8101377049206</v>
      </c>
      <c r="I34">
        <v>0.2</v>
      </c>
      <c r="J34">
        <f>E34*1000*I34/$C$2*N3</f>
        <v>1751.4525344262302</v>
      </c>
      <c r="K34">
        <f>H34+J34</f>
        <v>8757.2626721311499</v>
      </c>
      <c r="O34" t="s">
        <v>180</v>
      </c>
      <c r="S34">
        <f>H34/$M$3+J34/$M$3</f>
        <v>336.81779508196735</v>
      </c>
    </row>
    <row r="35" spans="1:21">
      <c r="B35" t="s">
        <v>399</v>
      </c>
      <c r="D35">
        <v>0.93</v>
      </c>
      <c r="E35">
        <f t="shared" ref="E35:E50" si="9">E34</f>
        <v>3.2873416800000008</v>
      </c>
      <c r="F35">
        <v>9.76</v>
      </c>
      <c r="G35">
        <v>0.8</v>
      </c>
      <c r="H35">
        <f>H34</f>
        <v>7005.8101377049206</v>
      </c>
      <c r="I35">
        <v>0.2</v>
      </c>
      <c r="J35">
        <f>J34</f>
        <v>1751.4525344262302</v>
      </c>
      <c r="K35">
        <f t="shared" ref="K35:K50" si="10">H35+J35</f>
        <v>8757.2626721311499</v>
      </c>
      <c r="O35" t="s">
        <v>181</v>
      </c>
      <c r="S35">
        <f>H35/$M$3+J35/$M$3</f>
        <v>336.81779508196735</v>
      </c>
    </row>
    <row r="36" spans="1:21">
      <c r="B36" t="s">
        <v>160</v>
      </c>
      <c r="D36">
        <v>1.2</v>
      </c>
      <c r="E36">
        <f t="shared" si="9"/>
        <v>3.2873416800000008</v>
      </c>
      <c r="F36">
        <v>46.045999999999999</v>
      </c>
      <c r="G36">
        <v>0.8</v>
      </c>
      <c r="H36">
        <f>E36*1000/F36*G36*基本情報!$G$20</f>
        <v>8567.1068409851068</v>
      </c>
      <c r="I36">
        <v>0.2</v>
      </c>
      <c r="J36">
        <f t="shared" ref="J36:J50" si="11">J35</f>
        <v>1751.4525344262302</v>
      </c>
      <c r="K36">
        <f t="shared" si="10"/>
        <v>10318.559375411336</v>
      </c>
      <c r="O36" t="s">
        <v>13</v>
      </c>
      <c r="P36">
        <f>暖房!I13*計算過程!C42*計算過程!B77</f>
        <v>5.2640000000000002</v>
      </c>
      <c r="Q36" t="s">
        <v>82</v>
      </c>
      <c r="S36">
        <f>J36/$M$3</f>
        <v>67.363559016393467</v>
      </c>
    </row>
    <row r="37" spans="1:21">
      <c r="B37" t="s">
        <v>161</v>
      </c>
      <c r="D37">
        <v>1.2</v>
      </c>
      <c r="E37">
        <f t="shared" si="9"/>
        <v>3.2873416800000008</v>
      </c>
      <c r="F37">
        <v>100.47</v>
      </c>
      <c r="G37">
        <v>0.8</v>
      </c>
      <c r="H37">
        <f>E37*1000/F37*G37*基本情報!$G$21</f>
        <v>13087.853807106605</v>
      </c>
      <c r="I37">
        <v>0.2</v>
      </c>
      <c r="J37">
        <f t="shared" si="11"/>
        <v>1751.4525344262302</v>
      </c>
      <c r="K37">
        <f t="shared" si="10"/>
        <v>14839.306341532836</v>
      </c>
      <c r="O37" t="s">
        <v>184</v>
      </c>
      <c r="P37">
        <f>P36*1000/C2</f>
        <v>539.34426229508199</v>
      </c>
      <c r="Q37" t="s">
        <v>185</v>
      </c>
      <c r="S37">
        <f t="shared" ref="S37:S38" si="12">J37/$M$3</f>
        <v>67.363559016393467</v>
      </c>
    </row>
    <row r="38" spans="1:21">
      <c r="B38" t="s">
        <v>162</v>
      </c>
      <c r="D38">
        <v>1.2</v>
      </c>
      <c r="E38">
        <f t="shared" si="9"/>
        <v>3.2873416800000008</v>
      </c>
      <c r="F38">
        <v>36.700000000000003</v>
      </c>
      <c r="G38">
        <v>0.8</v>
      </c>
      <c r="H38">
        <f>E38*1000/F38*G38*基本情報!$G$22</f>
        <v>7165.8674223433254</v>
      </c>
      <c r="I38">
        <v>0.2</v>
      </c>
      <c r="J38">
        <f t="shared" si="11"/>
        <v>1751.4525344262302</v>
      </c>
      <c r="K38">
        <f t="shared" si="10"/>
        <v>8917.3199567695556</v>
      </c>
      <c r="O38" t="s">
        <v>186</v>
      </c>
      <c r="P38">
        <v>2.7</v>
      </c>
      <c r="S38">
        <f t="shared" si="12"/>
        <v>67.363559016393467</v>
      </c>
    </row>
    <row r="39" spans="1:21">
      <c r="B39" t="s">
        <v>18</v>
      </c>
      <c r="D39">
        <v>1.8</v>
      </c>
      <c r="E39">
        <f t="shared" si="9"/>
        <v>3.2873416800000008</v>
      </c>
      <c r="F39">
        <v>9.76</v>
      </c>
      <c r="G39">
        <v>0.8</v>
      </c>
      <c r="H39">
        <f>E39*1000/F39*G39*N3</f>
        <v>7005.8101377049206</v>
      </c>
      <c r="I39">
        <v>0.2</v>
      </c>
      <c r="J39">
        <f t="shared" si="11"/>
        <v>1751.4525344262302</v>
      </c>
      <c r="K39">
        <f t="shared" si="10"/>
        <v>8757.2626721311499</v>
      </c>
      <c r="O39" t="s">
        <v>192</v>
      </c>
      <c r="P39">
        <f>P37*P38</f>
        <v>1456.2295081967216</v>
      </c>
      <c r="Q39" t="s">
        <v>193</v>
      </c>
      <c r="S39">
        <f>H39/$M$3+J39/$M$3</f>
        <v>336.81779508196735</v>
      </c>
    </row>
    <row r="40" spans="1:21">
      <c r="B40" t="s">
        <v>163</v>
      </c>
      <c r="D40">
        <v>2</v>
      </c>
      <c r="E40">
        <f t="shared" si="9"/>
        <v>3.2873416800000008</v>
      </c>
      <c r="F40">
        <v>46.045999999999999</v>
      </c>
      <c r="G40">
        <v>0.8</v>
      </c>
      <c r="H40">
        <f>E40*1000/F40*G40*基本情報!$G$20</f>
        <v>8567.1068409851068</v>
      </c>
      <c r="I40">
        <v>0.2</v>
      </c>
      <c r="J40">
        <f t="shared" si="11"/>
        <v>1751.4525344262302</v>
      </c>
      <c r="K40">
        <f t="shared" si="10"/>
        <v>10318.559375411336</v>
      </c>
      <c r="O40" t="s">
        <v>187</v>
      </c>
      <c r="P40">
        <f>P39*3.6</f>
        <v>5242.426229508198</v>
      </c>
      <c r="Q40" t="s">
        <v>188</v>
      </c>
      <c r="S40">
        <f t="shared" ref="S40:S43" si="13">J40/$M$3</f>
        <v>67.363559016393467</v>
      </c>
    </row>
    <row r="41" spans="1:21">
      <c r="B41" t="s">
        <v>164</v>
      </c>
      <c r="D41">
        <v>2</v>
      </c>
      <c r="E41">
        <f t="shared" si="9"/>
        <v>3.2873416800000008</v>
      </c>
      <c r="F41">
        <v>100.47</v>
      </c>
      <c r="G41">
        <v>0.8</v>
      </c>
      <c r="H41">
        <f>E41*1000/F41*G41*基本情報!$G$21</f>
        <v>13087.853807106605</v>
      </c>
      <c r="I41">
        <v>0.2</v>
      </c>
      <c r="J41">
        <f t="shared" si="11"/>
        <v>1751.4525344262302</v>
      </c>
      <c r="K41">
        <f t="shared" si="10"/>
        <v>14839.306341532836</v>
      </c>
      <c r="S41">
        <f t="shared" si="13"/>
        <v>67.363559016393467</v>
      </c>
    </row>
    <row r="42" spans="1:21">
      <c r="B42" t="s">
        <v>165</v>
      </c>
      <c r="D42">
        <v>2</v>
      </c>
      <c r="E42">
        <f t="shared" si="9"/>
        <v>3.2873416800000008</v>
      </c>
      <c r="F42">
        <v>36.700000000000003</v>
      </c>
      <c r="G42">
        <v>0.8</v>
      </c>
      <c r="H42">
        <f>E42*1000/F42*G42*基本情報!$G$22</f>
        <v>7165.8674223433254</v>
      </c>
      <c r="I42">
        <v>0.2</v>
      </c>
      <c r="J42">
        <f t="shared" si="11"/>
        <v>1751.4525344262302</v>
      </c>
      <c r="K42">
        <f t="shared" si="10"/>
        <v>8917.3199567695556</v>
      </c>
      <c r="S42">
        <f t="shared" si="13"/>
        <v>67.363559016393467</v>
      </c>
    </row>
    <row r="43" spans="1:21">
      <c r="B43" t="s">
        <v>19</v>
      </c>
      <c r="D43">
        <v>1.4</v>
      </c>
      <c r="E43">
        <f t="shared" si="9"/>
        <v>3.2873416800000008</v>
      </c>
      <c r="F43">
        <v>9.76</v>
      </c>
      <c r="G43">
        <v>0.8</v>
      </c>
      <c r="H43">
        <f>E43*1000/F43*G43*基本情報!$G$17</f>
        <v>7544.718609836068</v>
      </c>
      <c r="I43">
        <v>0.2</v>
      </c>
      <c r="J43">
        <f t="shared" si="11"/>
        <v>1751.4525344262302</v>
      </c>
      <c r="K43">
        <f t="shared" si="10"/>
        <v>9296.1711442622982</v>
      </c>
      <c r="S43">
        <f t="shared" si="13"/>
        <v>67.363559016393467</v>
      </c>
    </row>
    <row r="44" spans="1:21">
      <c r="B44" t="s">
        <v>20</v>
      </c>
      <c r="D44">
        <v>1.5</v>
      </c>
      <c r="E44">
        <f t="shared" si="9"/>
        <v>3.2873416800000008</v>
      </c>
      <c r="F44">
        <v>9.76</v>
      </c>
      <c r="G44">
        <v>0.8</v>
      </c>
      <c r="H44">
        <f>E44*1000/F44*G44*N3</f>
        <v>7005.8101377049206</v>
      </c>
      <c r="I44">
        <v>0.2</v>
      </c>
      <c r="J44">
        <f t="shared" si="11"/>
        <v>1751.4525344262302</v>
      </c>
      <c r="K44">
        <f t="shared" si="10"/>
        <v>8757.2626721311499</v>
      </c>
      <c r="S44">
        <f t="shared" ref="S44:S45" si="14">H44/$M$3+J44/$M$3</f>
        <v>336.81779508196735</v>
      </c>
    </row>
    <row r="45" spans="1:21">
      <c r="B45" t="s">
        <v>21</v>
      </c>
      <c r="D45">
        <v>0.66</v>
      </c>
      <c r="E45">
        <f t="shared" si="9"/>
        <v>3.2873416800000008</v>
      </c>
      <c r="F45">
        <v>9.76</v>
      </c>
      <c r="G45">
        <v>0.8</v>
      </c>
      <c r="H45">
        <f>E45*1000/F45*G45*N3</f>
        <v>7005.8101377049206</v>
      </c>
      <c r="I45">
        <v>0.2</v>
      </c>
      <c r="J45">
        <f t="shared" si="11"/>
        <v>1751.4525344262302</v>
      </c>
      <c r="K45">
        <f t="shared" si="10"/>
        <v>8757.2626721311499</v>
      </c>
      <c r="S45">
        <f t="shared" si="14"/>
        <v>336.81779508196735</v>
      </c>
    </row>
    <row r="46" spans="1:21">
      <c r="B46" t="s">
        <v>166</v>
      </c>
      <c r="D46">
        <v>0.7</v>
      </c>
      <c r="E46">
        <f t="shared" si="9"/>
        <v>3.2873416800000008</v>
      </c>
      <c r="F46">
        <v>46.045999999999999</v>
      </c>
      <c r="G46">
        <v>0.8</v>
      </c>
      <c r="H46">
        <f>E46*G46*1000/F46*基本情報!G20+E46*1000/9.76*G46*$H$6*N3</f>
        <v>9267.6878547555971</v>
      </c>
      <c r="I46">
        <v>0.2</v>
      </c>
      <c r="J46">
        <f t="shared" si="11"/>
        <v>1751.4525344262302</v>
      </c>
      <c r="K46">
        <f t="shared" si="10"/>
        <v>11019.140389181826</v>
      </c>
      <c r="S46">
        <f>E46*1000/9.76*G46*$H$6+J46/$M$3</f>
        <v>94.30898262295085</v>
      </c>
    </row>
    <row r="47" spans="1:21">
      <c r="B47" t="s">
        <v>167</v>
      </c>
      <c r="D47">
        <v>0.7</v>
      </c>
      <c r="E47">
        <f t="shared" si="9"/>
        <v>3.2873416800000008</v>
      </c>
      <c r="F47">
        <v>100.47</v>
      </c>
      <c r="G47">
        <v>0.8</v>
      </c>
      <c r="H47">
        <f>E47*G47*1000/F47*基本情報!G21+E47*1000/9.76*G47*$H$6*N3</f>
        <v>13788.434820877097</v>
      </c>
      <c r="I47">
        <v>0.2</v>
      </c>
      <c r="J47">
        <f t="shared" si="11"/>
        <v>1751.4525344262302</v>
      </c>
      <c r="K47">
        <f t="shared" si="10"/>
        <v>15539.887355303326</v>
      </c>
      <c r="S47">
        <f t="shared" ref="S47:S48" si="15">E47*1000/9.76*G47*$H$6+J47/$M$3</f>
        <v>94.30898262295085</v>
      </c>
    </row>
    <row r="48" spans="1:21">
      <c r="B48" t="s">
        <v>168</v>
      </c>
      <c r="D48">
        <v>0.7</v>
      </c>
      <c r="E48">
        <f t="shared" si="9"/>
        <v>3.2873416800000008</v>
      </c>
      <c r="F48">
        <v>36.700000000000003</v>
      </c>
      <c r="G48">
        <v>0.8</v>
      </c>
      <c r="H48">
        <f>E48*G48*1000/F48*基本情報!G22+E48*1000/9.76*G48*$H$6*N3</f>
        <v>7866.4484361138184</v>
      </c>
      <c r="I48">
        <v>0.2</v>
      </c>
      <c r="J48">
        <f t="shared" si="11"/>
        <v>1751.4525344262302</v>
      </c>
      <c r="K48">
        <f t="shared" si="10"/>
        <v>9617.9009705400495</v>
      </c>
      <c r="S48">
        <f t="shared" si="15"/>
        <v>94.30898262295085</v>
      </c>
    </row>
    <row r="49" spans="1:19">
      <c r="B49" t="s">
        <v>23</v>
      </c>
      <c r="D49">
        <v>0.2</v>
      </c>
      <c r="E49">
        <f>P40/1000</f>
        <v>5.2424262295081983</v>
      </c>
      <c r="F49">
        <v>15.5</v>
      </c>
      <c r="G49">
        <v>0.8</v>
      </c>
      <c r="H49">
        <f>E49*1000*G49/F49*基本情報!$G$23</f>
        <v>40586.525647805407</v>
      </c>
      <c r="I49">
        <v>0.2</v>
      </c>
      <c r="J49">
        <f t="shared" si="11"/>
        <v>1751.4525344262302</v>
      </c>
      <c r="K49">
        <f t="shared" si="10"/>
        <v>42337.978182231636</v>
      </c>
      <c r="S49">
        <f t="shared" ref="S49:S50" si="16">J49/$M$3</f>
        <v>67.363559016393467</v>
      </c>
    </row>
    <row r="50" spans="1:19">
      <c r="B50" t="s">
        <v>24</v>
      </c>
      <c r="D50">
        <v>0.8</v>
      </c>
      <c r="E50">
        <f t="shared" si="9"/>
        <v>5.2424262295081983</v>
      </c>
      <c r="F50">
        <v>12.5</v>
      </c>
      <c r="G50">
        <v>0.8</v>
      </c>
      <c r="H50">
        <f>E50*1000*G50/F50*基本情報!$G$24</f>
        <v>20130.916721311482</v>
      </c>
      <c r="I50">
        <v>0.2</v>
      </c>
      <c r="J50">
        <f t="shared" si="11"/>
        <v>1751.4525344262302</v>
      </c>
      <c r="K50">
        <f t="shared" si="10"/>
        <v>21882.369255737711</v>
      </c>
      <c r="S50">
        <f t="shared" si="16"/>
        <v>67.363559016393467</v>
      </c>
    </row>
    <row r="52" spans="1:19">
      <c r="M52" t="s">
        <v>320</v>
      </c>
      <c r="O52" t="s">
        <v>321</v>
      </c>
    </row>
    <row r="53" spans="1:19">
      <c r="A53" t="s">
        <v>195</v>
      </c>
      <c r="D53" t="s">
        <v>205</v>
      </c>
      <c r="E53" t="s">
        <v>207</v>
      </c>
      <c r="F53" t="s">
        <v>208</v>
      </c>
      <c r="G53" t="s">
        <v>206</v>
      </c>
      <c r="H53" t="s">
        <v>209</v>
      </c>
      <c r="I53" t="s">
        <v>206</v>
      </c>
      <c r="J53" t="s">
        <v>207</v>
      </c>
      <c r="K53" t="s">
        <v>208</v>
      </c>
      <c r="M53" t="s">
        <v>32</v>
      </c>
      <c r="N53" t="s">
        <v>81</v>
      </c>
      <c r="O53" t="s">
        <v>32</v>
      </c>
      <c r="Q53" t="s">
        <v>81</v>
      </c>
    </row>
    <row r="54" spans="1:19">
      <c r="B54" t="s">
        <v>39</v>
      </c>
      <c r="C54">
        <v>9.76</v>
      </c>
      <c r="D54">
        <f>給湯!C21</f>
        <v>59.136000000000003</v>
      </c>
      <c r="E54">
        <v>0.1</v>
      </c>
      <c r="F54">
        <v>0.9</v>
      </c>
      <c r="G54">
        <f>D54*1000/$C54*(M3*光熱費の計算!E54+基本情報!$G$19*光熱費の計算!F54)</f>
        <v>157534.42622950822</v>
      </c>
      <c r="H54">
        <f>給湯!E21</f>
        <v>8.3004490800000017</v>
      </c>
      <c r="I54">
        <f>H54*1000/$C54*(N3*光熱費の計算!J54+基本情報!$G$19*光熱費の計算!K54)</f>
        <v>22111.852057377058</v>
      </c>
      <c r="J54">
        <v>0.1</v>
      </c>
      <c r="K54">
        <v>0.9</v>
      </c>
      <c r="M54">
        <f>光熱費の計算!D54*1000/光熱費の計算!C54</f>
        <v>6059.0163934426228</v>
      </c>
      <c r="N54">
        <f>H54*1000/C54</f>
        <v>850.45584836065598</v>
      </c>
      <c r="O54" s="34">
        <f>IF(給湯!$C$9="電気温水器",M54,IF(給湯!$C$9="従来型都市ガス給湯器＜標準＞",0,IF(給湯!$C$9="従来型LPガス給湯器＜標準＞",0,IF(給湯!$C$9="従来型灯油給湯器＜標準＞",0,IF(給湯!$C$9="エコジョーズ（都市ガス）",0,IF(給湯!$C$9="エコジョーズ（LPガス）",0,IF(給湯!$C$9="エコフィール",0,IF(給湯!$C$9="エコキュート",M61,IF(給湯!$C$9="太陽熱温水器＋エコジョーズ（都市ガス）",0,IF(給湯!$C$9="太陽熱温水器＋エコジョーズ（LPガス）",0,IF(給湯!$C$9="太陽熱温水器＋エコフィール",0)))))))))))</f>
        <v>6059.0163934426228</v>
      </c>
      <c r="Q54" s="34">
        <f>IF(給湯!$E$9="電気温水器",N54,IF(給湯!$E$9="従来型都市ガス給湯器＜標準＞",0,IF(給湯!$E$9="従来型LPガス給湯器＜標準＞",0,IF(給湯!$E$9="従来型灯油給湯器＜標準＞",0,IF(給湯!$E$9="エコジョーズ（都市ガス）",0,IF(給湯!$E$9="エコジョーズ（LPガス）",0,IF(給湯!$E$9="エコフィール",0,IF(給湯!$E$9="エコキュート",N61,IF(給湯!$E$9="太陽熱温水器＋エコジョーズ（都市ガス）",0,IF(給湯!$E$9="太陽熱温水器＋エコジョーズ（LPガス）",0,IF(給湯!$E$9="太陽熱温水器＋エコフィール",0)))))))))))</f>
        <v>0</v>
      </c>
    </row>
    <row r="55" spans="1:19">
      <c r="B55" t="s">
        <v>196</v>
      </c>
      <c r="C55">
        <v>46.045999999999999</v>
      </c>
      <c r="D55">
        <f>D54</f>
        <v>59.136000000000003</v>
      </c>
      <c r="G55">
        <f>D55*1000/$C55*基本情報!$G20</f>
        <v>192642.14046822744</v>
      </c>
      <c r="H55">
        <f>H54</f>
        <v>8.3004490800000017</v>
      </c>
      <c r="I55">
        <f>H55*1000/$C55*基本情報!$G20</f>
        <v>27039.642140468233</v>
      </c>
    </row>
    <row r="56" spans="1:19">
      <c r="B56" t="s">
        <v>197</v>
      </c>
      <c r="C56">
        <v>100.47</v>
      </c>
      <c r="D56">
        <f t="shared" ref="D56:D64" si="17">D55</f>
        <v>59.136000000000003</v>
      </c>
      <c r="G56">
        <f>D56*1000/C56*基本情報!G21</f>
        <v>294296.80501642282</v>
      </c>
      <c r="H56">
        <f t="shared" ref="H56:H64" si="18">H55</f>
        <v>8.3004490800000017</v>
      </c>
      <c r="I56">
        <f>H56*1000/$C56*基本情報!$G21</f>
        <v>41308.097342490306</v>
      </c>
    </row>
    <row r="57" spans="1:19">
      <c r="B57" t="s">
        <v>198</v>
      </c>
      <c r="C57">
        <v>36.700000000000003</v>
      </c>
      <c r="D57">
        <f t="shared" si="17"/>
        <v>59.136000000000003</v>
      </c>
      <c r="G57">
        <f>D57*1000/C57*基本情報!G22</f>
        <v>161133.51498637602</v>
      </c>
      <c r="H57">
        <f t="shared" si="18"/>
        <v>8.3004490800000017</v>
      </c>
      <c r="I57">
        <f>H57*1000/$C57*基本情報!$G22</f>
        <v>22617.027465940057</v>
      </c>
    </row>
    <row r="58" spans="1:19">
      <c r="B58" t="s">
        <v>199</v>
      </c>
      <c r="C58">
        <v>46.045999999999999</v>
      </c>
      <c r="D58">
        <f t="shared" si="17"/>
        <v>59.136000000000003</v>
      </c>
      <c r="G58">
        <f>D58*1000/C58*基本情報!G20</f>
        <v>192642.14046822744</v>
      </c>
      <c r="H58">
        <f t="shared" si="18"/>
        <v>8.3004490800000017</v>
      </c>
      <c r="I58">
        <f>H58*1000/$C58*基本情報!$G20</f>
        <v>27039.642140468233</v>
      </c>
    </row>
    <row r="59" spans="1:19">
      <c r="B59" t="s">
        <v>200</v>
      </c>
      <c r="C59">
        <v>100.47</v>
      </c>
      <c r="D59">
        <f t="shared" si="17"/>
        <v>59.136000000000003</v>
      </c>
      <c r="G59">
        <f>D59*1000/C59*基本情報!G21</f>
        <v>294296.80501642282</v>
      </c>
      <c r="H59">
        <f t="shared" si="18"/>
        <v>8.3004490800000017</v>
      </c>
      <c r="I59">
        <f>H59*1000/$C59*基本情報!$G21</f>
        <v>41308.097342490306</v>
      </c>
    </row>
    <row r="60" spans="1:19">
      <c r="B60" t="s">
        <v>204</v>
      </c>
      <c r="C60">
        <v>36.700000000000003</v>
      </c>
      <c r="D60">
        <f t="shared" si="17"/>
        <v>59.136000000000003</v>
      </c>
      <c r="G60">
        <f>D60*1000/C60*基本情報!G22</f>
        <v>161133.51498637602</v>
      </c>
      <c r="H60">
        <f t="shared" si="18"/>
        <v>8.3004490800000017</v>
      </c>
      <c r="I60">
        <f>H60*1000/$C60*基本情報!$G22</f>
        <v>22617.027465940057</v>
      </c>
    </row>
    <row r="61" spans="1:19">
      <c r="B61" t="s">
        <v>40</v>
      </c>
      <c r="C61">
        <v>9.76</v>
      </c>
      <c r="D61">
        <f t="shared" si="17"/>
        <v>59.136000000000003</v>
      </c>
      <c r="E61">
        <v>0.1</v>
      </c>
      <c r="F61">
        <v>0.9</v>
      </c>
      <c r="G61">
        <f>D61*1000/C61*(M3*光熱費の計算!E61+基本情報!G19*光熱費の計算!F61)</f>
        <v>157534.42622950822</v>
      </c>
      <c r="H61">
        <f t="shared" si="18"/>
        <v>8.3004490800000017</v>
      </c>
      <c r="I61">
        <f>H61*1000/$C61*(N3*光熱費の計算!J61+基本情報!$G$19*光熱費の計算!K61)</f>
        <v>22111.852057377058</v>
      </c>
      <c r="J61">
        <v>0.1</v>
      </c>
      <c r="K61">
        <v>0.9</v>
      </c>
      <c r="M61">
        <f>光熱費の計算!D61*1000/光熱費の計算!C61</f>
        <v>6059.0163934426228</v>
      </c>
      <c r="N61">
        <f>H61*1000/C61</f>
        <v>850.45584836065598</v>
      </c>
    </row>
    <row r="62" spans="1:19">
      <c r="B62" s="5" t="s">
        <v>201</v>
      </c>
      <c r="C62">
        <v>46.045999999999999</v>
      </c>
      <c r="D62">
        <f t="shared" si="17"/>
        <v>59.136000000000003</v>
      </c>
      <c r="G62">
        <f>D62*1000/C62*基本情報!G20</f>
        <v>192642.14046822744</v>
      </c>
      <c r="H62">
        <f t="shared" si="18"/>
        <v>8.3004490800000017</v>
      </c>
      <c r="I62">
        <f>H62*1000/$C62*基本情報!$G20</f>
        <v>27039.642140468233</v>
      </c>
    </row>
    <row r="63" spans="1:19">
      <c r="B63" s="5" t="s">
        <v>202</v>
      </c>
      <c r="C63">
        <v>100.47</v>
      </c>
      <c r="D63">
        <f t="shared" si="17"/>
        <v>59.136000000000003</v>
      </c>
      <c r="G63">
        <f>D63*1000/C63*基本情報!G21</f>
        <v>294296.80501642282</v>
      </c>
      <c r="H63">
        <f t="shared" si="18"/>
        <v>8.3004490800000017</v>
      </c>
      <c r="I63">
        <f>H63*1000/$C63*基本情報!$G21</f>
        <v>41308.097342490306</v>
      </c>
    </row>
    <row r="64" spans="1:19">
      <c r="B64" s="5" t="s">
        <v>203</v>
      </c>
      <c r="C64">
        <v>36.700000000000003</v>
      </c>
      <c r="D64">
        <f t="shared" si="17"/>
        <v>59.136000000000003</v>
      </c>
      <c r="G64">
        <f>D64*1000/C64*基本情報!G22</f>
        <v>161133.51498637602</v>
      </c>
      <c r="H64">
        <f t="shared" si="18"/>
        <v>8.3004490800000017</v>
      </c>
      <c r="I64">
        <f>H64*1000/$C64*基本情報!$G22</f>
        <v>22617.027465940057</v>
      </c>
    </row>
    <row r="65" spans="1:10">
      <c r="F65" t="s">
        <v>210</v>
      </c>
      <c r="G65">
        <f>IF(給湯!$C$9="電気温水器",G54,IF(給湯!$C$9="従来型都市ガス給湯器＜標準＞",G55,IF(給湯!$C$9="従来型LPガス給湯器＜標準＞",G56,IF(給湯!$C$9="従来型灯油給湯器＜標準＞",G57,IF(給湯!$C$9="エコジョーズ（都市ガス）",G58,IF(給湯!$C$9="エコジョーズ（LPガス）",G59,IF(給湯!$C$9="エコフィール",G60,IF(給湯!$C$9="エコキュート",G61,IF(給湯!$C$9="太陽熱温水器＋エコジョーズ（都市ガス）",G62,IF(給湯!$C$9="太陽熱温水器＋エコジョーズ（LPガス）",G63,IF(給湯!$C$9="太陽熱温水器＋エコフィール",G64)))))))))))</f>
        <v>157534.42622950822</v>
      </c>
      <c r="I65">
        <f>IF(給湯!E$9="電気温水器",I54,IF(給湯!E$9="従来型都市ガス給湯器＜標準＞",I55,IF(給湯!E$9="従来型LPガス給湯器＜標準＞",I56,IF(給湯!E$9="従来型灯油給湯器＜標準＞",I57,IF(給湯!E$9="エコジョーズ（都市ガス）",I58,IF(給湯!E$9="エコジョーズ（LPガス）",I59,IF(給湯!E$9="エコフィール",I60,IF(給湯!E$9="エコキュート",I61,IF(給湯!E$9="太陽熱温水器＋エコジョーズ（都市ガス）",I62,IF(給湯!E$9="太陽熱温水器＋エコジョーズ（LPガス）",I63,IF(給湯!E$9="太陽熱温水器＋エコフィール",I64)))))))))))</f>
        <v>27039.642140468233</v>
      </c>
    </row>
    <row r="67" spans="1:10">
      <c r="A67" t="s">
        <v>213</v>
      </c>
    </row>
    <row r="69" spans="1:10">
      <c r="B69" s="6"/>
      <c r="D69" t="s">
        <v>252</v>
      </c>
      <c r="E69" t="s">
        <v>253</v>
      </c>
    </row>
    <row r="70" spans="1:10">
      <c r="B70" s="6"/>
      <c r="C70" t="s">
        <v>255</v>
      </c>
      <c r="D70">
        <f>IF(基本情報!$D$10="オール電化",基本情報!$G$17,基本情報!$G$19)</f>
        <v>26</v>
      </c>
      <c r="E70">
        <f>IF(基本情報!$F$10="オール電化",基本情報!$G$17,基本情報!$G$19)</f>
        <v>26</v>
      </c>
    </row>
    <row r="71" spans="1:10">
      <c r="B71" s="6"/>
      <c r="C71" t="s">
        <v>254</v>
      </c>
      <c r="D71">
        <f>IF(基本情報!$D$10="オール電化",基本情報!$G$18,基本情報!$G$19)</f>
        <v>26</v>
      </c>
      <c r="E71">
        <f>IF(基本情報!F10="オール電化",基本情報!$G$18,基本情報!$G$19)</f>
        <v>26</v>
      </c>
    </row>
    <row r="72" spans="1:10">
      <c r="B72" s="6"/>
    </row>
    <row r="73" spans="1:10">
      <c r="B73" s="6" t="s">
        <v>216</v>
      </c>
    </row>
    <row r="74" spans="1:10">
      <c r="B74" t="s">
        <v>217</v>
      </c>
      <c r="C74">
        <f>IF(その他!C38="局所のみ",光熱費の計算!D70,(光熱費の計算!D70+光熱費の計算!D71)/2)</f>
        <v>26</v>
      </c>
    </row>
    <row r="75" spans="1:10">
      <c r="B75" t="s">
        <v>218</v>
      </c>
      <c r="C75">
        <f>IF(その他!E38="局所のみ",光熱費の計算!E70,(光熱費の計算!E70+光熱費の計算!E71)/2)</f>
        <v>26</v>
      </c>
    </row>
    <row r="77" spans="1:10">
      <c r="A77" t="s">
        <v>230</v>
      </c>
      <c r="C77" t="s">
        <v>215</v>
      </c>
      <c r="E77" t="s">
        <v>256</v>
      </c>
      <c r="F77" t="s">
        <v>257</v>
      </c>
      <c r="H77" t="s">
        <v>321</v>
      </c>
    </row>
    <row r="78" spans="1:10">
      <c r="B78" s="12" t="s">
        <v>226</v>
      </c>
      <c r="E78">
        <f>IF(基本情報!$D$10="オール電化",基本情報!$G$17,基本情報!$G$19)</f>
        <v>26</v>
      </c>
      <c r="F78">
        <f>IF(基本情報!$F$10="オール電化",基本情報!$G$17,基本情報!$G$19)</f>
        <v>26</v>
      </c>
      <c r="H78" t="s">
        <v>32</v>
      </c>
      <c r="J78" t="s">
        <v>81</v>
      </c>
    </row>
    <row r="79" spans="1:10">
      <c r="B79" t="s">
        <v>227</v>
      </c>
      <c r="C79">
        <f>基本情報!G20</f>
        <v>150</v>
      </c>
      <c r="H79" s="34">
        <f>IF(その他!C109="IHコンロ",その他!E102*1000/9.76,IF(その他!C109="都市ガスコンロ",0,IF(その他!C109="LPガスコンロ",0)))</f>
        <v>0</v>
      </c>
      <c r="J79" s="34">
        <f>IF(その他!E109="IHコンロ",その他!E102*1000/9.76,IF(その他!E109="都市ガスコンロ",0,IF(その他!E109="LPガスコンロ",0)))</f>
        <v>461.06557377049182</v>
      </c>
    </row>
    <row r="80" spans="1:10">
      <c r="B80" t="s">
        <v>228</v>
      </c>
      <c r="C80">
        <f>基本情報!G21</f>
        <v>500</v>
      </c>
    </row>
    <row r="82" spans="1:5">
      <c r="A82" t="s">
        <v>258</v>
      </c>
      <c r="D82" t="s">
        <v>256</v>
      </c>
      <c r="E82" t="s">
        <v>257</v>
      </c>
    </row>
    <row r="83" spans="1:5">
      <c r="D83">
        <f>IF(基本情報!$D$10="オール電化",基本情報!$G$17,基本情報!$G$19)</f>
        <v>26</v>
      </c>
      <c r="E83">
        <f>IF(基本情報!$F$10="オール電化",基本情報!$G$17,基本情報!$G$19)</f>
        <v>26</v>
      </c>
    </row>
  </sheetData>
  <mergeCells count="2">
    <mergeCell ref="I12:J12"/>
    <mergeCell ref="I32:J32"/>
  </mergeCells>
  <phoneticPr fontId="1"/>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249977111117893"/>
  </sheetPr>
  <dimension ref="B2:S39"/>
  <sheetViews>
    <sheetView showGridLines="0" workbookViewId="0">
      <pane ySplit="3" topLeftCell="A19" activePane="bottomLeft" state="frozen"/>
      <selection pane="bottomLeft" activeCell="D6" sqref="D6:G6"/>
    </sheetView>
  </sheetViews>
  <sheetFormatPr baseColWidth="12" defaultColWidth="9" defaultRowHeight="17" x14ac:dyDescent="0"/>
  <cols>
    <col min="1" max="1" width="3.6640625" style="36" customWidth="1"/>
    <col min="2" max="2" width="15" style="36" customWidth="1"/>
    <col min="3" max="3" width="16.33203125" style="36" customWidth="1"/>
    <col min="4" max="7" width="14.33203125" style="36" customWidth="1"/>
    <col min="8" max="8" width="10" style="36" customWidth="1"/>
    <col min="9" max="11" width="14" style="36" customWidth="1"/>
    <col min="12" max="12" width="10.6640625" style="36" customWidth="1"/>
    <col min="13" max="13" width="9" style="36"/>
    <col min="14" max="14" width="9" style="36" customWidth="1"/>
    <col min="15" max="17" width="9" style="36"/>
    <col min="18" max="19" width="9" style="36" hidden="1" customWidth="1"/>
    <col min="20" max="16384" width="9" style="36"/>
  </cols>
  <sheetData>
    <row r="2" spans="2:17" s="42" customFormat="1" ht="23">
      <c r="B2" s="43" t="s">
        <v>96</v>
      </c>
    </row>
    <row r="4" spans="2:17" ht="24.75" customHeight="1">
      <c r="B4" s="60" t="s">
        <v>354</v>
      </c>
      <c r="C4" s="58"/>
      <c r="D4" s="58"/>
      <c r="E4" s="58"/>
      <c r="F4" s="58"/>
      <c r="G4" s="58"/>
      <c r="H4" s="58"/>
      <c r="I4" s="58"/>
      <c r="J4" s="58"/>
      <c r="K4" s="58"/>
      <c r="L4" s="58"/>
      <c r="M4" s="58"/>
      <c r="N4" s="58"/>
      <c r="O4" s="58"/>
      <c r="P4" s="58"/>
      <c r="Q4" s="58"/>
    </row>
    <row r="5" spans="2:17" ht="10.5" customHeight="1"/>
    <row r="6" spans="2:17" s="37" customFormat="1" ht="24" customHeight="1">
      <c r="B6" s="240" t="s">
        <v>356</v>
      </c>
      <c r="C6" s="240"/>
      <c r="D6" s="245">
        <v>6</v>
      </c>
      <c r="E6" s="245"/>
      <c r="F6" s="245"/>
      <c r="G6" s="245"/>
    </row>
    <row r="7" spans="2:17" s="37" customFormat="1" ht="24" customHeight="1">
      <c r="B7" s="240" t="s">
        <v>357</v>
      </c>
      <c r="C7" s="240"/>
      <c r="D7" s="245">
        <v>5</v>
      </c>
      <c r="E7" s="245"/>
      <c r="F7" s="245"/>
      <c r="G7" s="245"/>
    </row>
    <row r="8" spans="2:17" ht="24" customHeight="1">
      <c r="B8" s="240" t="s">
        <v>520</v>
      </c>
      <c r="C8" s="240"/>
      <c r="D8" s="245" t="s">
        <v>298</v>
      </c>
      <c r="E8" s="245"/>
      <c r="F8" s="245"/>
      <c r="G8" s="245"/>
      <c r="H8" s="38"/>
      <c r="I8" s="63"/>
    </row>
    <row r="9" spans="2:17" ht="20" customHeight="1">
      <c r="B9" s="240" t="s">
        <v>358</v>
      </c>
      <c r="C9" s="240"/>
      <c r="D9" s="241" t="s">
        <v>369</v>
      </c>
      <c r="E9" s="241"/>
      <c r="F9" s="241" t="s">
        <v>370</v>
      </c>
      <c r="G9" s="241"/>
      <c r="I9" s="64"/>
    </row>
    <row r="10" spans="2:17" ht="24" customHeight="1">
      <c r="B10" s="240"/>
      <c r="C10" s="240"/>
      <c r="D10" s="246" t="s">
        <v>248</v>
      </c>
      <c r="E10" s="246"/>
      <c r="F10" s="246" t="s">
        <v>248</v>
      </c>
      <c r="G10" s="246"/>
      <c r="I10" s="64"/>
    </row>
    <row r="11" spans="2:17" ht="24" customHeight="1">
      <c r="B11" s="61"/>
      <c r="C11" s="61"/>
      <c r="D11" s="235"/>
      <c r="E11" s="235"/>
      <c r="F11" s="235"/>
      <c r="G11" s="235"/>
      <c r="I11" s="64"/>
    </row>
    <row r="12" spans="2:17" ht="24.75" customHeight="1">
      <c r="B12" s="60" t="s">
        <v>355</v>
      </c>
      <c r="C12" s="58"/>
      <c r="D12" s="58"/>
      <c r="E12" s="58"/>
      <c r="F12" s="58"/>
      <c r="G12" s="58"/>
      <c r="H12" s="58"/>
      <c r="I12" s="65"/>
      <c r="J12" s="58"/>
      <c r="K12" s="58"/>
      <c r="L12" s="58"/>
      <c r="M12" s="58"/>
      <c r="N12" s="58"/>
      <c r="O12" s="58"/>
      <c r="P12" s="58"/>
      <c r="Q12" s="58"/>
    </row>
    <row r="13" spans="2:17" ht="10.5" customHeight="1">
      <c r="I13" s="64"/>
    </row>
    <row r="14" spans="2:17" ht="20" customHeight="1">
      <c r="B14" s="240" t="s">
        <v>359</v>
      </c>
      <c r="C14" s="240"/>
      <c r="D14" s="241" t="s">
        <v>369</v>
      </c>
      <c r="E14" s="241"/>
      <c r="F14" s="241" t="s">
        <v>370</v>
      </c>
      <c r="G14" s="241"/>
      <c r="H14" s="154"/>
      <c r="I14" s="64"/>
    </row>
    <row r="15" spans="2:17" ht="24" customHeight="1">
      <c r="B15" s="240"/>
      <c r="C15" s="240"/>
      <c r="D15" s="249">
        <v>29300</v>
      </c>
      <c r="E15" s="249"/>
      <c r="F15" s="249">
        <v>25900</v>
      </c>
      <c r="G15" s="249"/>
      <c r="H15" s="155" t="s">
        <v>259</v>
      </c>
      <c r="I15" s="64"/>
    </row>
    <row r="16" spans="2:17" ht="9" customHeight="1">
      <c r="I16" s="64"/>
    </row>
    <row r="17" spans="2:19" ht="23.5" customHeight="1">
      <c r="B17" s="240" t="s">
        <v>151</v>
      </c>
      <c r="C17" s="240"/>
      <c r="D17" s="242" t="s">
        <v>245</v>
      </c>
      <c r="E17" s="242" t="s">
        <v>246</v>
      </c>
      <c r="F17" s="242"/>
      <c r="G17" s="62">
        <v>28</v>
      </c>
      <c r="H17" s="156" t="s">
        <v>153</v>
      </c>
      <c r="I17" s="239" t="s">
        <v>521</v>
      </c>
      <c r="J17" s="239"/>
      <c r="K17" s="239"/>
      <c r="L17" s="239"/>
      <c r="R17" s="36">
        <v>1</v>
      </c>
      <c r="S17" s="37"/>
    </row>
    <row r="18" spans="2:19" ht="23.5" customHeight="1">
      <c r="B18" s="240"/>
      <c r="C18" s="240"/>
      <c r="D18" s="242"/>
      <c r="E18" s="242" t="s">
        <v>247</v>
      </c>
      <c r="F18" s="242"/>
      <c r="G18" s="62">
        <v>12</v>
      </c>
      <c r="H18" s="156" t="s">
        <v>153</v>
      </c>
      <c r="I18" s="239" t="s">
        <v>521</v>
      </c>
      <c r="J18" s="239"/>
      <c r="K18" s="239"/>
      <c r="L18" s="239"/>
      <c r="R18" s="36">
        <v>2</v>
      </c>
    </row>
    <row r="19" spans="2:19" ht="23.5" customHeight="1">
      <c r="B19" s="240"/>
      <c r="C19" s="240"/>
      <c r="D19" s="57" t="s">
        <v>248</v>
      </c>
      <c r="E19" s="242" t="s">
        <v>249</v>
      </c>
      <c r="F19" s="242"/>
      <c r="G19" s="62">
        <v>26</v>
      </c>
      <c r="H19" s="156" t="s">
        <v>153</v>
      </c>
      <c r="I19" s="239" t="s">
        <v>522</v>
      </c>
      <c r="J19" s="239"/>
      <c r="K19" s="239"/>
      <c r="L19" s="239"/>
      <c r="R19" s="36">
        <v>3</v>
      </c>
      <c r="S19" s="37"/>
    </row>
    <row r="20" spans="2:19" ht="23.5" customHeight="1">
      <c r="B20" s="240"/>
      <c r="C20" s="240"/>
      <c r="D20" s="241"/>
      <c r="E20" s="242" t="s">
        <v>143</v>
      </c>
      <c r="F20" s="242"/>
      <c r="G20" s="62">
        <v>150</v>
      </c>
      <c r="H20" s="156" t="s">
        <v>154</v>
      </c>
      <c r="I20" s="239" t="s">
        <v>523</v>
      </c>
      <c r="J20" s="239"/>
      <c r="K20" s="239"/>
      <c r="L20" s="239"/>
      <c r="R20" s="36">
        <v>4</v>
      </c>
    </row>
    <row r="21" spans="2:19" ht="23.5" customHeight="1">
      <c r="B21" s="240"/>
      <c r="C21" s="240"/>
      <c r="D21" s="243"/>
      <c r="E21" s="242" t="s">
        <v>152</v>
      </c>
      <c r="F21" s="242"/>
      <c r="G21" s="62">
        <v>500</v>
      </c>
      <c r="H21" s="156" t="s">
        <v>154</v>
      </c>
      <c r="I21" s="239" t="s">
        <v>524</v>
      </c>
      <c r="J21" s="239"/>
      <c r="K21" s="239"/>
      <c r="L21" s="239"/>
      <c r="R21" s="36">
        <v>5</v>
      </c>
    </row>
    <row r="22" spans="2:19" ht="23.5" customHeight="1">
      <c r="B22" s="240"/>
      <c r="C22" s="240"/>
      <c r="D22" s="243"/>
      <c r="E22" s="242" t="s">
        <v>145</v>
      </c>
      <c r="F22" s="242"/>
      <c r="G22" s="62">
        <v>100</v>
      </c>
      <c r="H22" s="156" t="s">
        <v>155</v>
      </c>
      <c r="I22" s="239" t="s">
        <v>525</v>
      </c>
      <c r="J22" s="239"/>
      <c r="K22" s="239"/>
      <c r="L22" s="239"/>
      <c r="R22" s="36">
        <v>6</v>
      </c>
    </row>
    <row r="23" spans="2:19" ht="23.5" customHeight="1">
      <c r="B23" s="240"/>
      <c r="C23" s="240"/>
      <c r="D23" s="243"/>
      <c r="E23" s="242" t="s">
        <v>146</v>
      </c>
      <c r="F23" s="242"/>
      <c r="G23" s="62">
        <v>150</v>
      </c>
      <c r="H23" s="156" t="s">
        <v>156</v>
      </c>
      <c r="I23" s="239" t="s">
        <v>526</v>
      </c>
      <c r="J23" s="239"/>
      <c r="K23" s="239"/>
      <c r="L23" s="239"/>
      <c r="R23" s="36">
        <v>7</v>
      </c>
      <c r="S23" s="36" t="s">
        <v>212</v>
      </c>
    </row>
    <row r="24" spans="2:19" ht="23.5" customHeight="1">
      <c r="B24" s="240"/>
      <c r="C24" s="240"/>
      <c r="D24" s="244"/>
      <c r="E24" s="242" t="s">
        <v>147</v>
      </c>
      <c r="F24" s="242"/>
      <c r="G24" s="62">
        <v>60</v>
      </c>
      <c r="H24" s="156" t="s">
        <v>156</v>
      </c>
      <c r="I24" s="239" t="s">
        <v>527</v>
      </c>
      <c r="J24" s="239"/>
      <c r="K24" s="239"/>
      <c r="L24" s="239"/>
      <c r="R24" s="36">
        <v>8</v>
      </c>
      <c r="S24" s="36" t="s">
        <v>248</v>
      </c>
    </row>
    <row r="25" spans="2:19" ht="18.75" customHeight="1">
      <c r="B25" s="251" t="s">
        <v>360</v>
      </c>
      <c r="C25" s="251"/>
      <c r="D25" s="251"/>
      <c r="E25" s="251"/>
      <c r="F25" s="251"/>
      <c r="G25" s="251"/>
    </row>
    <row r="27" spans="2:19" ht="24.75" customHeight="1">
      <c r="B27" s="60" t="s">
        <v>361</v>
      </c>
      <c r="C27" s="58"/>
      <c r="D27" s="58"/>
      <c r="E27" s="58"/>
      <c r="F27" s="58"/>
      <c r="G27" s="58"/>
      <c r="H27" s="58"/>
      <c r="I27" s="65"/>
      <c r="J27" s="58"/>
      <c r="K27" s="58"/>
      <c r="L27" s="58"/>
      <c r="M27" s="58"/>
      <c r="N27" s="58"/>
      <c r="O27" s="58"/>
      <c r="P27" s="58"/>
      <c r="Q27" s="58"/>
    </row>
    <row r="28" spans="2:19" ht="10.5" customHeight="1" thickBot="1">
      <c r="I28" s="64"/>
    </row>
    <row r="29" spans="2:19" s="40" customFormat="1" ht="16.5" customHeight="1" thickBot="1">
      <c r="B29" s="252" t="s">
        <v>362</v>
      </c>
      <c r="C29" s="247" t="s">
        <v>211</v>
      </c>
      <c r="D29" s="250"/>
      <c r="E29" s="248"/>
      <c r="F29" s="247" t="s">
        <v>398</v>
      </c>
      <c r="G29" s="250"/>
      <c r="H29" s="250"/>
      <c r="I29" s="250"/>
      <c r="J29" s="248"/>
    </row>
    <row r="30" spans="2:19" s="40" customFormat="1" ht="16.5" customHeight="1" thickBot="1">
      <c r="B30" s="253"/>
      <c r="C30" s="66"/>
      <c r="D30" s="66"/>
      <c r="E30" s="66"/>
      <c r="F30" s="247" t="s">
        <v>231</v>
      </c>
      <c r="G30" s="248"/>
      <c r="H30" s="247" t="s">
        <v>232</v>
      </c>
      <c r="I30" s="248"/>
      <c r="J30" s="66"/>
    </row>
    <row r="31" spans="2:19" s="40" customFormat="1" ht="16.5" customHeight="1">
      <c r="B31" s="253"/>
      <c r="C31" s="70" t="s">
        <v>233</v>
      </c>
      <c r="D31" s="70" t="s">
        <v>235</v>
      </c>
      <c r="E31" s="70" t="s">
        <v>236</v>
      </c>
      <c r="F31" s="70" t="s">
        <v>214</v>
      </c>
      <c r="G31" s="70" t="s">
        <v>236</v>
      </c>
      <c r="H31" s="70" t="s">
        <v>214</v>
      </c>
      <c r="I31" s="70" t="s">
        <v>236</v>
      </c>
      <c r="J31" s="70" t="s">
        <v>239</v>
      </c>
    </row>
    <row r="32" spans="2:19" s="40" customFormat="1" ht="16.5" customHeight="1" thickBot="1">
      <c r="B32" s="254"/>
      <c r="C32" s="71" t="s">
        <v>234</v>
      </c>
      <c r="D32" s="71" t="s">
        <v>234</v>
      </c>
      <c r="E32" s="71" t="s">
        <v>237</v>
      </c>
      <c r="F32" s="71" t="s">
        <v>234</v>
      </c>
      <c r="G32" s="71" t="s">
        <v>237</v>
      </c>
      <c r="H32" s="71" t="s">
        <v>238</v>
      </c>
      <c r="I32" s="71" t="s">
        <v>237</v>
      </c>
      <c r="J32" s="71" t="s">
        <v>237</v>
      </c>
    </row>
    <row r="33" spans="2:10" s="40" customFormat="1" ht="16.5" customHeight="1" thickBot="1">
      <c r="B33" s="69" t="s">
        <v>240</v>
      </c>
      <c r="C33" s="67">
        <v>28.43</v>
      </c>
      <c r="D33" s="67">
        <v>12.16</v>
      </c>
      <c r="E33" s="68">
        <v>25920</v>
      </c>
      <c r="F33" s="67">
        <v>25.91</v>
      </c>
      <c r="G33" s="68">
        <v>16848</v>
      </c>
      <c r="H33" s="67">
        <v>128.08000000000001</v>
      </c>
      <c r="I33" s="68">
        <v>12442</v>
      </c>
      <c r="J33" s="68">
        <v>29290</v>
      </c>
    </row>
    <row r="34" spans="2:10" s="40" customFormat="1" ht="16.5" customHeight="1" thickBot="1">
      <c r="B34" s="69" t="s">
        <v>241</v>
      </c>
      <c r="C34" s="67">
        <v>30.92</v>
      </c>
      <c r="D34" s="67">
        <v>13.1</v>
      </c>
      <c r="E34" s="68">
        <v>25920</v>
      </c>
      <c r="F34" s="67">
        <v>29.26</v>
      </c>
      <c r="G34" s="67">
        <v>0</v>
      </c>
      <c r="H34" s="67">
        <v>138.96</v>
      </c>
      <c r="I34" s="68">
        <v>16049</v>
      </c>
      <c r="J34" s="68">
        <v>16049</v>
      </c>
    </row>
    <row r="35" spans="2:10" s="40" customFormat="1" ht="16.5" customHeight="1" thickBot="1">
      <c r="B35" s="69" t="s">
        <v>242</v>
      </c>
      <c r="C35" s="67">
        <v>30.52</v>
      </c>
      <c r="D35" s="67">
        <v>13.45</v>
      </c>
      <c r="E35" s="68">
        <v>25920</v>
      </c>
      <c r="F35" s="67">
        <v>25.08</v>
      </c>
      <c r="G35" s="68">
        <v>16848</v>
      </c>
      <c r="H35" s="67">
        <v>165.96</v>
      </c>
      <c r="I35" s="68">
        <v>18720</v>
      </c>
      <c r="J35" s="68">
        <v>35568</v>
      </c>
    </row>
    <row r="36" spans="2:10" s="40" customFormat="1" ht="16.5" customHeight="1" thickBot="1">
      <c r="B36" s="69" t="s">
        <v>244</v>
      </c>
      <c r="C36" s="67">
        <v>30.06</v>
      </c>
      <c r="D36" s="67">
        <v>14.6</v>
      </c>
      <c r="E36" s="68">
        <v>19440</v>
      </c>
      <c r="F36" s="67">
        <v>29.04</v>
      </c>
      <c r="G36" s="67">
        <v>0</v>
      </c>
      <c r="H36" s="67">
        <v>213.41</v>
      </c>
      <c r="I36" s="68">
        <v>19320</v>
      </c>
      <c r="J36" s="68">
        <v>19320</v>
      </c>
    </row>
    <row r="37" spans="2:10" s="40" customFormat="1" ht="16.5" customHeight="1" thickBot="1">
      <c r="B37" s="69" t="s">
        <v>558</v>
      </c>
      <c r="C37" s="238">
        <v>31.9</v>
      </c>
      <c r="D37" s="67">
        <v>21.24</v>
      </c>
      <c r="E37" s="68">
        <v>0</v>
      </c>
      <c r="F37" s="67">
        <v>29.95</v>
      </c>
      <c r="G37" s="67">
        <v>0</v>
      </c>
      <c r="H37" s="67">
        <v>192.54</v>
      </c>
      <c r="I37" s="68">
        <v>33190</v>
      </c>
      <c r="J37" s="68">
        <v>33190</v>
      </c>
    </row>
    <row r="38" spans="2:10" s="40" customFormat="1" ht="16.5" customHeight="1" thickBot="1">
      <c r="B38" s="69" t="s">
        <v>243</v>
      </c>
      <c r="C38" s="67">
        <v>27.05</v>
      </c>
      <c r="D38" s="67">
        <v>10.29</v>
      </c>
      <c r="E38" s="68">
        <v>19440</v>
      </c>
      <c r="F38" s="67">
        <v>22.63</v>
      </c>
      <c r="G38" s="68">
        <v>17496</v>
      </c>
      <c r="H38" s="67">
        <v>183.61</v>
      </c>
      <c r="I38" s="68">
        <v>13349</v>
      </c>
      <c r="J38" s="68">
        <v>30845</v>
      </c>
    </row>
    <row r="39" spans="2:10">
      <c r="B39" s="41" t="s">
        <v>250</v>
      </c>
    </row>
  </sheetData>
  <sheetProtection password="CC59" sheet="1" formatCells="0" formatColumns="0" formatRows="0" insertColumns="0" insertRows="0" insertHyperlinks="0" deleteColumns="0" deleteRows="0" sort="0" autoFilter="0" pivotTables="0"/>
  <mergeCells count="41">
    <mergeCell ref="H30:I30"/>
    <mergeCell ref="D17:D18"/>
    <mergeCell ref="D15:E15"/>
    <mergeCell ref="F15:G15"/>
    <mergeCell ref="E19:F19"/>
    <mergeCell ref="E18:F18"/>
    <mergeCell ref="F29:J29"/>
    <mergeCell ref="C29:E29"/>
    <mergeCell ref="B25:G25"/>
    <mergeCell ref="B29:B32"/>
    <mergeCell ref="F30:G30"/>
    <mergeCell ref="I24:L24"/>
    <mergeCell ref="I23:L23"/>
    <mergeCell ref="I22:L22"/>
    <mergeCell ref="I21:L21"/>
    <mergeCell ref="I20:L20"/>
    <mergeCell ref="B6:C6"/>
    <mergeCell ref="D8:G8"/>
    <mergeCell ref="D7:G7"/>
    <mergeCell ref="D6:G6"/>
    <mergeCell ref="B9:C10"/>
    <mergeCell ref="D9:E9"/>
    <mergeCell ref="D10:E10"/>
    <mergeCell ref="F9:G9"/>
    <mergeCell ref="F10:G10"/>
    <mergeCell ref="I19:L19"/>
    <mergeCell ref="I18:L18"/>
    <mergeCell ref="I17:L17"/>
    <mergeCell ref="B8:C8"/>
    <mergeCell ref="B7:C7"/>
    <mergeCell ref="D14:E14"/>
    <mergeCell ref="F14:G14"/>
    <mergeCell ref="B14:C15"/>
    <mergeCell ref="E17:F17"/>
    <mergeCell ref="B17:C24"/>
    <mergeCell ref="D20:D24"/>
    <mergeCell ref="E24:F24"/>
    <mergeCell ref="E23:F23"/>
    <mergeCell ref="E22:F22"/>
    <mergeCell ref="E21:F21"/>
    <mergeCell ref="E20:F20"/>
  </mergeCells>
  <phoneticPr fontId="1"/>
  <dataValidations count="3">
    <dataValidation type="list" allowBlank="1" showInputMessage="1" showErrorMessage="1" sqref="D10:D11 F10:F11">
      <formula1>$S$23:$S$24</formula1>
    </dataValidation>
    <dataValidation type="list" allowBlank="1" showInputMessage="1" showErrorMessage="1" sqref="D6">
      <formula1>$R$17:$R$24</formula1>
    </dataValidation>
    <dataValidation type="list" allowBlank="1" showInputMessage="1" showErrorMessage="1" sqref="D7">
      <formula1>$R$17:$R$22</formula1>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都市別人数別標準値!$K$3:$K$51</xm:f>
          </x14:formula1>
          <xm:sqref>D8</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249977111117893"/>
  </sheetPr>
  <dimension ref="A1:BO35"/>
  <sheetViews>
    <sheetView showGridLines="0" topLeftCell="A28" workbookViewId="0">
      <selection activeCell="G19" sqref="G19:H19"/>
    </sheetView>
  </sheetViews>
  <sheetFormatPr baseColWidth="12" defaultColWidth="9" defaultRowHeight="17" x14ac:dyDescent="0"/>
  <cols>
    <col min="1" max="2" width="3.6640625" style="36" customWidth="1"/>
    <col min="3" max="3" width="28.5" style="36" customWidth="1"/>
    <col min="4" max="4" width="25.83203125" style="36" customWidth="1"/>
    <col min="5" max="5" width="16.6640625" style="36" customWidth="1"/>
    <col min="6" max="6" width="12" style="36" customWidth="1"/>
    <col min="7" max="7" width="25.83203125" style="36" customWidth="1"/>
    <col min="8" max="8" width="16.6640625" style="36" customWidth="1"/>
    <col min="9" max="9" width="12" style="36" customWidth="1"/>
    <col min="10" max="10" width="0.6640625" style="36" customWidth="1"/>
    <col min="11" max="11" width="9" style="36"/>
    <col min="12" max="15" width="9" style="36" customWidth="1"/>
    <col min="16" max="20" width="9" style="36"/>
    <col min="21" max="21" width="2.6640625" style="36" customWidth="1"/>
    <col min="22" max="22" width="9" style="36"/>
    <col min="23" max="23" width="9" style="36" customWidth="1"/>
    <col min="24" max="25" width="9" style="36" hidden="1" customWidth="1"/>
    <col min="26" max="16384" width="9" style="36"/>
  </cols>
  <sheetData>
    <row r="1" spans="1:67" ht="14.75" customHeight="1"/>
    <row r="2" spans="1:67" s="93" customFormat="1" ht="6.75" customHeight="1">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row>
    <row r="3" spans="1:67" s="59" customFormat="1" ht="29.75" customHeight="1">
      <c r="A3" s="79"/>
      <c r="B3" s="79"/>
      <c r="C3" s="78" t="s">
        <v>95</v>
      </c>
      <c r="D3" s="79"/>
      <c r="E3" s="79"/>
      <c r="F3" s="94" t="s">
        <v>25</v>
      </c>
      <c r="G3" s="256">
        <f>地域別用途別基準値!D13</f>
        <v>20</v>
      </c>
      <c r="H3" s="256"/>
      <c r="I3" s="94" t="s">
        <v>17</v>
      </c>
      <c r="J3" s="79"/>
      <c r="K3" s="79"/>
      <c r="L3" s="79"/>
      <c r="M3" s="79"/>
      <c r="N3" s="79"/>
      <c r="O3" s="79"/>
      <c r="P3" s="79"/>
      <c r="Q3" s="79"/>
      <c r="R3" s="79"/>
      <c r="S3" s="79"/>
      <c r="T3" s="79"/>
      <c r="U3" s="79"/>
    </row>
    <row r="4" spans="1:67" s="59" customFormat="1" ht="7" customHeight="1">
      <c r="A4" s="79"/>
      <c r="B4" s="79"/>
      <c r="C4" s="78"/>
      <c r="D4" s="79"/>
      <c r="E4" s="79"/>
      <c r="F4" s="91"/>
      <c r="G4" s="92"/>
      <c r="H4" s="90"/>
      <c r="I4" s="90"/>
      <c r="J4" s="79"/>
      <c r="K4" s="79"/>
      <c r="L4" s="79"/>
      <c r="M4" s="79"/>
      <c r="N4" s="79"/>
      <c r="O4" s="79"/>
      <c r="P4" s="79"/>
      <c r="Q4" s="79"/>
      <c r="R4" s="79"/>
      <c r="S4" s="79"/>
      <c r="T4" s="79"/>
      <c r="U4" s="79"/>
    </row>
    <row r="6" spans="1:67" hidden="1">
      <c r="C6" s="72" t="s">
        <v>16</v>
      </c>
      <c r="D6" s="73">
        <f>基本情報!D6</f>
        <v>6</v>
      </c>
    </row>
    <row r="7" spans="1:67" ht="24.75" customHeight="1">
      <c r="C7" s="80" t="s">
        <v>367</v>
      </c>
      <c r="D7" s="81"/>
      <c r="E7" s="81"/>
      <c r="F7" s="81"/>
      <c r="G7" s="81"/>
      <c r="H7" s="81"/>
      <c r="I7" s="81"/>
      <c r="J7" s="81"/>
      <c r="K7" s="81"/>
      <c r="L7" s="81"/>
      <c r="M7" s="81"/>
      <c r="N7" s="81"/>
      <c r="O7" s="81"/>
      <c r="P7" s="81"/>
      <c r="Q7" s="81"/>
      <c r="R7" s="81"/>
      <c r="S7" s="81"/>
      <c r="T7" s="81"/>
      <c r="U7" s="81"/>
    </row>
    <row r="8" spans="1:67" ht="10.5" customHeight="1"/>
    <row r="9" spans="1:67" ht="37.25" customHeight="1">
      <c r="C9" s="82" t="s">
        <v>366</v>
      </c>
      <c r="D9" s="271" t="s">
        <v>363</v>
      </c>
      <c r="E9" s="271"/>
      <c r="F9" s="83" t="s">
        <v>365</v>
      </c>
      <c r="G9" s="271" t="s">
        <v>364</v>
      </c>
      <c r="H9" s="271"/>
      <c r="I9" s="83" t="s">
        <v>365</v>
      </c>
      <c r="J9" s="255" t="s">
        <v>528</v>
      </c>
      <c r="K9" s="255"/>
      <c r="L9" s="255"/>
      <c r="M9" s="255"/>
      <c r="N9" s="255"/>
      <c r="O9" s="255"/>
      <c r="P9" s="255"/>
      <c r="Q9" s="255"/>
      <c r="R9" s="255"/>
      <c r="S9" s="255"/>
      <c r="T9" s="255"/>
      <c r="U9" s="255"/>
    </row>
    <row r="10" spans="1:67">
      <c r="C10" s="268" t="s">
        <v>89</v>
      </c>
      <c r="D10" s="245" t="s">
        <v>500</v>
      </c>
      <c r="E10" s="245"/>
      <c r="F10" s="267">
        <f>IF(D10="S55基準レベル＜標準＞",$G$3*計算過程!$F$13,IF(D10="H4年基準レベル",$G$3*計算過程!$F$14,IF(D10="H11年（H28年）基準レベル",$G$3*計算過程!$F$15,IF(D10="H11年（H28年）基準レベルの1.5倍程度",$G$3*計算過程!$F$16))))</f>
        <v>20</v>
      </c>
      <c r="G10" s="245" t="s">
        <v>88</v>
      </c>
      <c r="H10" s="245"/>
      <c r="I10" s="266">
        <f>IF(G10="S55基準レベル＜標準＞",$G$3*計算過程!$F$13,IF(G10="H4年基準レベル",$G$3*計算過程!$F$14,IF(G10="H11年（H28年）基準レベル",$G$3*計算過程!$F$15,IF(G10="H11年（H28年）基準レベルの1.5倍程度",$G$3*計算過程!$F$16))))</f>
        <v>5.6000000000000005</v>
      </c>
      <c r="J10" s="140"/>
      <c r="K10" s="141" t="s">
        <v>529</v>
      </c>
      <c r="L10" s="142"/>
      <c r="M10" s="142"/>
      <c r="N10" s="142"/>
      <c r="O10" s="142"/>
      <c r="P10" s="142"/>
      <c r="Q10" s="142"/>
      <c r="R10" s="142"/>
      <c r="S10" s="142"/>
      <c r="T10" s="142"/>
      <c r="U10" s="143"/>
    </row>
    <row r="11" spans="1:67">
      <c r="C11" s="268"/>
      <c r="D11" s="245"/>
      <c r="E11" s="245"/>
      <c r="F11" s="267"/>
      <c r="G11" s="245"/>
      <c r="H11" s="245"/>
      <c r="I11" s="266"/>
      <c r="J11" s="144"/>
      <c r="K11" s="40" t="s">
        <v>530</v>
      </c>
      <c r="U11" s="145"/>
    </row>
    <row r="12" spans="1:67">
      <c r="C12" s="268"/>
      <c r="D12" s="245"/>
      <c r="E12" s="245"/>
      <c r="F12" s="267"/>
      <c r="G12" s="245"/>
      <c r="H12" s="245"/>
      <c r="I12" s="266"/>
      <c r="J12" s="144"/>
      <c r="K12" s="40" t="s">
        <v>90</v>
      </c>
      <c r="U12" s="145"/>
    </row>
    <row r="13" spans="1:67">
      <c r="C13" s="265" t="s">
        <v>31</v>
      </c>
      <c r="D13" s="245" t="s">
        <v>92</v>
      </c>
      <c r="E13" s="245"/>
      <c r="F13" s="282">
        <f>F10*計算過程!B53</f>
        <v>18.799999999999997</v>
      </c>
      <c r="G13" s="245" t="s">
        <v>91</v>
      </c>
      <c r="H13" s="245"/>
      <c r="I13" s="266">
        <f>I10*計算過程!B54</f>
        <v>5.6000000000000005</v>
      </c>
      <c r="J13" s="140"/>
      <c r="K13" s="141" t="s">
        <v>531</v>
      </c>
      <c r="L13" s="142"/>
      <c r="M13" s="142"/>
      <c r="N13" s="142"/>
      <c r="O13" s="142"/>
      <c r="P13" s="142"/>
      <c r="Q13" s="142"/>
      <c r="R13" s="142"/>
      <c r="S13" s="142"/>
      <c r="T13" s="142"/>
      <c r="U13" s="143"/>
    </row>
    <row r="14" spans="1:67">
      <c r="C14" s="265"/>
      <c r="D14" s="245"/>
      <c r="E14" s="245"/>
      <c r="F14" s="283"/>
      <c r="G14" s="245"/>
      <c r="H14" s="245"/>
      <c r="I14" s="266"/>
      <c r="J14" s="151"/>
      <c r="K14" s="40" t="s">
        <v>532</v>
      </c>
      <c r="U14" s="145"/>
      <c r="X14" s="36">
        <f>IF(D10="S55基準レベル＜標準＞",1,"黒")</f>
        <v>1</v>
      </c>
      <c r="Y14" s="36" t="str">
        <f>IF(G10="S55基準レベル＜標準＞",1,"黒")</f>
        <v>黒</v>
      </c>
    </row>
    <row r="15" spans="1:67" ht="30" customHeight="1">
      <c r="C15" s="89" t="s">
        <v>30</v>
      </c>
      <c r="D15" s="245" t="s">
        <v>502</v>
      </c>
      <c r="E15" s="245"/>
      <c r="F15" s="86">
        <f>F13*計算過程!C41</f>
        <v>18.799999999999997</v>
      </c>
      <c r="G15" s="245" t="s">
        <v>439</v>
      </c>
      <c r="H15" s="245"/>
      <c r="I15" s="150">
        <f>I13*計算過程!C42</f>
        <v>5.2640000000000002</v>
      </c>
      <c r="J15" s="146"/>
      <c r="K15" s="147"/>
      <c r="L15" s="148"/>
      <c r="M15" s="148"/>
      <c r="N15" s="148"/>
      <c r="O15" s="148"/>
      <c r="P15" s="148"/>
      <c r="Q15" s="148"/>
      <c r="R15" s="148"/>
      <c r="S15" s="148"/>
      <c r="T15" s="148"/>
      <c r="U15" s="149"/>
    </row>
    <row r="16" spans="1:67" ht="30" customHeight="1">
      <c r="C16" s="89" t="s">
        <v>438</v>
      </c>
      <c r="D16" s="280" t="s">
        <v>504</v>
      </c>
      <c r="E16" s="281"/>
      <c r="F16" s="86">
        <f>暖房!F15*計算過程!B60</f>
        <v>18.799999999999997</v>
      </c>
      <c r="G16" s="280" t="s">
        <v>449</v>
      </c>
      <c r="H16" s="281"/>
      <c r="I16" s="115">
        <f>I15*計算過程!B61</f>
        <v>4.4744000000000002</v>
      </c>
      <c r="J16" s="140"/>
      <c r="K16" s="141"/>
      <c r="L16" s="142"/>
      <c r="M16" s="142"/>
      <c r="N16" s="142"/>
      <c r="O16" s="142"/>
      <c r="P16" s="142"/>
      <c r="Q16" s="142"/>
      <c r="R16" s="142"/>
      <c r="S16" s="142"/>
      <c r="T16" s="142"/>
      <c r="U16" s="143"/>
    </row>
    <row r="17" spans="3:21" ht="30" customHeight="1">
      <c r="C17" s="89" t="s">
        <v>29</v>
      </c>
      <c r="D17" s="245" t="s">
        <v>501</v>
      </c>
      <c r="E17" s="245"/>
      <c r="F17" s="86">
        <f>F16*計算過程!B37</f>
        <v>18.799999999999997</v>
      </c>
      <c r="G17" s="245" t="s">
        <v>399</v>
      </c>
      <c r="H17" s="245"/>
      <c r="I17" s="150">
        <f>I16*計算過程!B38</f>
        <v>4.1611920000000007</v>
      </c>
      <c r="J17" s="146"/>
      <c r="K17" s="147" t="s">
        <v>533</v>
      </c>
      <c r="L17" s="148"/>
      <c r="M17" s="148"/>
      <c r="N17" s="148"/>
      <c r="O17" s="148"/>
      <c r="P17" s="148"/>
      <c r="Q17" s="148"/>
      <c r="R17" s="148"/>
      <c r="S17" s="148"/>
      <c r="T17" s="148"/>
      <c r="U17" s="149"/>
    </row>
    <row r="18" spans="3:21" ht="30" customHeight="1">
      <c r="C18" s="89" t="s">
        <v>440</v>
      </c>
      <c r="D18" s="280" t="s">
        <v>505</v>
      </c>
      <c r="E18" s="281"/>
      <c r="F18" s="86">
        <f>F17*計算過程!B69</f>
        <v>18.799999999999997</v>
      </c>
      <c r="G18" s="280" t="s">
        <v>559</v>
      </c>
      <c r="H18" s="281"/>
      <c r="I18" s="115">
        <f>I17*計算過程!B70</f>
        <v>3.2873416800000008</v>
      </c>
      <c r="J18" s="140"/>
      <c r="K18" s="141"/>
      <c r="L18" s="142"/>
      <c r="M18" s="142"/>
      <c r="N18" s="142"/>
      <c r="O18" s="142"/>
      <c r="P18" s="142"/>
      <c r="Q18" s="142"/>
      <c r="R18" s="142"/>
      <c r="S18" s="142"/>
      <c r="T18" s="142"/>
      <c r="U18" s="143"/>
    </row>
    <row r="19" spans="3:21" ht="30" customHeight="1">
      <c r="C19" s="153" t="s">
        <v>494</v>
      </c>
      <c r="D19" s="269" t="s">
        <v>506</v>
      </c>
      <c r="E19" s="270"/>
      <c r="F19" s="86">
        <f>F18*計算過程!B76</f>
        <v>18.799999999999997</v>
      </c>
      <c r="G19" s="269" t="s">
        <v>506</v>
      </c>
      <c r="H19" s="270"/>
      <c r="I19" s="115">
        <f>I18*計算過程!B77</f>
        <v>3.2873416800000008</v>
      </c>
      <c r="J19" s="146"/>
      <c r="K19" s="284" t="s">
        <v>534</v>
      </c>
      <c r="L19" s="284"/>
      <c r="M19" s="284"/>
      <c r="N19" s="284"/>
      <c r="O19" s="284"/>
      <c r="P19" s="284"/>
      <c r="Q19" s="284"/>
      <c r="R19" s="284"/>
      <c r="S19" s="284"/>
      <c r="T19" s="284"/>
      <c r="U19" s="285"/>
    </row>
    <row r="21" spans="3:21" ht="24.75" customHeight="1">
      <c r="C21" s="80" t="s">
        <v>368</v>
      </c>
      <c r="D21" s="81"/>
      <c r="E21" s="81"/>
      <c r="F21" s="81"/>
      <c r="G21" s="81"/>
      <c r="H21" s="81"/>
      <c r="I21" s="81"/>
      <c r="J21" s="81"/>
      <c r="K21" s="81"/>
      <c r="L21" s="81"/>
      <c r="M21" s="81"/>
      <c r="N21" s="81"/>
      <c r="O21" s="81"/>
      <c r="P21" s="81"/>
      <c r="Q21" s="81"/>
      <c r="R21" s="81"/>
      <c r="S21" s="81"/>
      <c r="T21" s="81"/>
      <c r="U21" s="81"/>
    </row>
    <row r="22" spans="3:21" ht="10.5" customHeight="1"/>
    <row r="23" spans="3:21" ht="29" customHeight="1" thickBot="1">
      <c r="C23" s="75" t="s">
        <v>371</v>
      </c>
    </row>
    <row r="24" spans="3:21" ht="37.25" customHeight="1">
      <c r="C24" s="84"/>
      <c r="D24" s="278" t="s">
        <v>369</v>
      </c>
      <c r="E24" s="278"/>
      <c r="F24" s="278"/>
      <c r="G24" s="278" t="s">
        <v>370</v>
      </c>
      <c r="H24" s="278"/>
      <c r="I24" s="279"/>
    </row>
    <row r="25" spans="3:21" ht="30" customHeight="1">
      <c r="C25" s="85" t="s">
        <v>102</v>
      </c>
      <c r="D25" s="291">
        <f>F19</f>
        <v>18.799999999999997</v>
      </c>
      <c r="E25" s="291"/>
      <c r="F25" s="291"/>
      <c r="G25" s="288">
        <f>I19</f>
        <v>3.2873416800000008</v>
      </c>
      <c r="H25" s="288"/>
      <c r="I25" s="289"/>
    </row>
    <row r="26" spans="3:21" ht="30" customHeight="1">
      <c r="C26" s="85" t="s">
        <v>100</v>
      </c>
      <c r="D26" s="291">
        <f>G3-F19</f>
        <v>1.2000000000000028</v>
      </c>
      <c r="E26" s="291"/>
      <c r="F26" s="291"/>
      <c r="G26" s="288">
        <f>G3-I19</f>
        <v>16.712658319999999</v>
      </c>
      <c r="H26" s="288"/>
      <c r="I26" s="289"/>
    </row>
    <row r="27" spans="3:21" ht="30" customHeight="1">
      <c r="C27" s="85" t="s">
        <v>99</v>
      </c>
      <c r="D27" s="290">
        <f>(G3-D25)/G3*100</f>
        <v>6.0000000000000142</v>
      </c>
      <c r="E27" s="290"/>
      <c r="F27" s="290"/>
      <c r="G27" s="286">
        <f>(G3-G25)/G3*100</f>
        <v>83.563291599999999</v>
      </c>
      <c r="H27" s="286"/>
      <c r="I27" s="287"/>
    </row>
    <row r="28" spans="3:21" ht="30" customHeight="1">
      <c r="C28" s="259" t="s">
        <v>101</v>
      </c>
      <c r="D28" s="260"/>
      <c r="E28" s="260"/>
      <c r="F28" s="260"/>
      <c r="G28" s="263">
        <f>F19-I19</f>
        <v>15.512658319999996</v>
      </c>
      <c r="H28" s="263"/>
      <c r="I28" s="264"/>
      <c r="K28" s="40"/>
    </row>
    <row r="29" spans="3:21" ht="30" customHeight="1" thickBot="1">
      <c r="C29" s="257" t="s">
        <v>98</v>
      </c>
      <c r="D29" s="258"/>
      <c r="E29" s="258"/>
      <c r="F29" s="258"/>
      <c r="G29" s="261">
        <f>G28/D25*100</f>
        <v>82.514139999999998</v>
      </c>
      <c r="H29" s="261"/>
      <c r="I29" s="262"/>
      <c r="K29" s="40"/>
    </row>
    <row r="30" spans="3:21" ht="21.75" customHeight="1">
      <c r="I30" s="157" t="s">
        <v>535</v>
      </c>
    </row>
    <row r="31" spans="3:21" ht="29" customHeight="1" thickBot="1">
      <c r="C31" s="75" t="s">
        <v>372</v>
      </c>
    </row>
    <row r="32" spans="3:21" ht="37.25" customHeight="1">
      <c r="C32" s="84"/>
      <c r="D32" s="278" t="s">
        <v>369</v>
      </c>
      <c r="E32" s="278"/>
      <c r="F32" s="278"/>
      <c r="G32" s="278" t="s">
        <v>370</v>
      </c>
      <c r="H32" s="278"/>
      <c r="I32" s="279"/>
    </row>
    <row r="33" spans="3:11" ht="30" customHeight="1">
      <c r="C33" s="87" t="s">
        <v>219</v>
      </c>
      <c r="D33" s="274">
        <f>IF(D17="エアコン（2005年以前）＜標準＞",光熱費の計算!K14,IF(D17="エアコン（2005年以降）",光熱費の計算!K15,IF(D17="ファンヒーター（都市ガス）",光熱費の計算!K16,IF(D17="ファンヒーター（LPガス）",光熱費の計算!K17,IF(D17="ファンヒーター（灯油）",光熱費の計算!K18,IF(D17="電気床暖房",光熱費の計算!K19,IF(D17="温水床暖房（都市ガス）",光熱費の計算!K20,IF(D17="温水床暖房（LPガス）",光熱費の計算!K21,IF(D17="温水床暖房（灯油）",光熱費の計算!K22,IF(D17="温水床暖房（HP）",光熱費の計算!K23,IF(D17="エアコン＋電気カーペット/オイルヒーター",光熱費の計算!K24,IF(D17="エアコン＋こたつ",光熱費の計算!K25,IF(D17="ファンヒーター（都市ガス）＋こたつ",光熱費の計算!K26,IF(D17="ファンヒーター（LPガス）＋こたつ",光熱費の計算!K27,IF(D17="ファンヒーター（灯油）＋こたつ",光熱費の計算!K28,IF(D17="薪ストーブ（全日、主居室のみ）",光熱費の計算!K29,IF(D17="ペレットストーブ",光熱費の計算!K30)))))))))))))))))</f>
        <v>50081.967213114753</v>
      </c>
      <c r="E33" s="274"/>
      <c r="F33" s="274"/>
      <c r="G33" s="274">
        <f>IF(G17="エアコン（2005年以前）＜標準＞",光熱費の計算!M14,IF(G17="エアコン（2005年以降）",光熱費の計算!M15,IF(G17="ファンヒーター（都市ガス）",光熱費の計算!M16,IF(G17="ファンヒーター（LPガス）",光熱費の計算!M17,IF(G17="ファンヒーター（灯油）",光熱費の計算!M18,IF(G17="電気床暖房",光熱費の計算!M19,IF(G17="温水床暖房（都市ガス）",光熱費の計算!M20,IF(G17="温水床暖房（LPガス）",光熱費の計算!M21,IF(G17="温水床暖房（灯油）",光熱費の計算!M22,IF(G17="温水床暖房（HP）",光熱費の計算!M23,IF(G17="エアコン＋電気カーペット/オイルヒーター",光熱費の計算!M24,IF(G17="エアコン＋こたつ",光熱費の計算!M25,IF(G17="ファンヒーター（都市ガス）＋こたつ",光熱費の計算!M26,IF(G17="ファンヒーター（LPガス）＋こたつ",光熱費の計算!M27,IF(G17="ファンヒーター（灯油）＋こたつ",光熱費の計算!M28,IF(G17="薪ストーブ（全日、主居室のみ）",光熱費の計算!M29,IF(G17="ペレットストーブ",光熱費の計算!M30)))))))))))))))))</f>
        <v>8757.2626721311499</v>
      </c>
      <c r="H33" s="274"/>
      <c r="I33" s="275"/>
    </row>
    <row r="34" spans="3:11" ht="30" customHeight="1" thickBot="1">
      <c r="C34" s="272" t="s">
        <v>375</v>
      </c>
      <c r="D34" s="273"/>
      <c r="E34" s="273"/>
      <c r="F34" s="273"/>
      <c r="G34" s="276">
        <f>D33-G33</f>
        <v>41324.704540983599</v>
      </c>
      <c r="H34" s="276"/>
      <c r="I34" s="277"/>
      <c r="K34" s="40"/>
    </row>
    <row r="35" spans="3:11" ht="24.75" customHeight="1">
      <c r="I35" s="157" t="s">
        <v>535</v>
      </c>
    </row>
  </sheetData>
  <sheetProtection password="CC59" sheet="1" formatCells="0" formatColumns="0" formatRows="0" insertColumns="0" insertRows="0" insertHyperlinks="0" deleteColumns="0" deleteRows="0" sort="0" autoFilter="0" pivotTables="0"/>
  <mergeCells count="43">
    <mergeCell ref="D19:E19"/>
    <mergeCell ref="K19:U19"/>
    <mergeCell ref="G24:I24"/>
    <mergeCell ref="D24:F24"/>
    <mergeCell ref="G27:I27"/>
    <mergeCell ref="G26:I26"/>
    <mergeCell ref="G25:I25"/>
    <mergeCell ref="D27:F27"/>
    <mergeCell ref="D26:F26"/>
    <mergeCell ref="D25:F25"/>
    <mergeCell ref="D18:E18"/>
    <mergeCell ref="G18:H18"/>
    <mergeCell ref="G13:H14"/>
    <mergeCell ref="F13:F14"/>
    <mergeCell ref="D13:E14"/>
    <mergeCell ref="D17:E17"/>
    <mergeCell ref="D15:E15"/>
    <mergeCell ref="G17:H17"/>
    <mergeCell ref="G15:H15"/>
    <mergeCell ref="D16:E16"/>
    <mergeCell ref="G16:H16"/>
    <mergeCell ref="C34:F34"/>
    <mergeCell ref="D33:F33"/>
    <mergeCell ref="G33:I33"/>
    <mergeCell ref="G34:I34"/>
    <mergeCell ref="D32:F32"/>
    <mergeCell ref="G32:I32"/>
    <mergeCell ref="J9:U9"/>
    <mergeCell ref="G3:H3"/>
    <mergeCell ref="C29:F29"/>
    <mergeCell ref="C28:F28"/>
    <mergeCell ref="G29:I29"/>
    <mergeCell ref="G28:I28"/>
    <mergeCell ref="C13:C14"/>
    <mergeCell ref="I10:I12"/>
    <mergeCell ref="G10:H12"/>
    <mergeCell ref="F10:F12"/>
    <mergeCell ref="D10:E12"/>
    <mergeCell ref="C10:C12"/>
    <mergeCell ref="G19:H19"/>
    <mergeCell ref="I13:I14"/>
    <mergeCell ref="D9:E9"/>
    <mergeCell ref="G9:H9"/>
  </mergeCells>
  <phoneticPr fontId="1"/>
  <conditionalFormatting sqref="F13">
    <cfRule type="expression" dxfId="30" priority="16">
      <formula>$X$14="黒"</formula>
    </cfRule>
  </conditionalFormatting>
  <conditionalFormatting sqref="I13">
    <cfRule type="expression" dxfId="29" priority="17">
      <formula>$Y$14="黒"</formula>
    </cfRule>
  </conditionalFormatting>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7">
        <x14:dataValidation type="list" allowBlank="1" showInputMessage="1" showErrorMessage="1">
          <x14:formula1>
            <xm:f>計算過程!$A$73:$A$74</xm:f>
          </x14:formula1>
          <xm:sqref>D19 G19</xm:sqref>
        </x14:dataValidation>
        <x14:dataValidation type="list" allowBlank="1" showInputMessage="1" showErrorMessage="1">
          <x14:formula1>
            <xm:f>計算過程!$A$41:$A$42</xm:f>
          </x14:formula1>
          <xm:sqref>D15:E15 G15:H15</xm:sqref>
        </x14:dataValidation>
        <x14:dataValidation type="list" allowBlank="1" showInputMessage="1" showErrorMessage="1">
          <x14:formula1>
            <xm:f>計算過程!$A$46:$A$51</xm:f>
          </x14:formula1>
          <xm:sqref>G13 D13:E14</xm:sqref>
        </x14:dataValidation>
        <x14:dataValidation type="list" allowBlank="1" showInputMessage="1" showErrorMessage="1">
          <x14:formula1>
            <xm:f>計算過程!$A$8:$A$11</xm:f>
          </x14:formula1>
          <xm:sqref>D10:E12 G10:H12</xm:sqref>
        </x14:dataValidation>
        <x14:dataValidation type="list" allowBlank="1" showInputMessage="1" showErrorMessage="1">
          <x14:formula1>
            <xm:f>光熱費の計算!$B$14:$B$30</xm:f>
          </x14:formula1>
          <xm:sqref>G17:H17 D17:E17</xm:sqref>
        </x14:dataValidation>
        <x14:dataValidation type="list" allowBlank="1" showInputMessage="1" showErrorMessage="1">
          <x14:formula1>
            <xm:f>計算過程!$A$57:$A$58</xm:f>
          </x14:formula1>
          <xm:sqref>D16 G16</xm:sqref>
        </x14:dataValidation>
        <x14:dataValidation type="list" allowBlank="1" showInputMessage="1" showErrorMessage="1">
          <x14:formula1>
            <xm:f>計算過程!$A$64:$A$67</xm:f>
          </x14:formula1>
          <xm:sqref>D18:E18 G18:H18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249977111117893"/>
  </sheetPr>
  <dimension ref="A1:P32"/>
  <sheetViews>
    <sheetView showGridLines="0" topLeftCell="A16" workbookViewId="0">
      <selection activeCell="F16" sqref="F16:G16"/>
    </sheetView>
  </sheetViews>
  <sheetFormatPr baseColWidth="12" defaultColWidth="9" defaultRowHeight="17" x14ac:dyDescent="0"/>
  <cols>
    <col min="1" max="1" width="7.33203125" style="36" customWidth="1"/>
    <col min="2" max="2" width="28.5" style="36" customWidth="1"/>
    <col min="3" max="3" width="25.6640625" style="36" customWidth="1"/>
    <col min="4" max="4" width="16.6640625" style="36" customWidth="1"/>
    <col min="5" max="5" width="12" style="36" customWidth="1"/>
    <col min="6" max="6" width="25.83203125" style="36" customWidth="1"/>
    <col min="7" max="7" width="16.6640625" style="36" customWidth="1"/>
    <col min="8" max="8" width="12" style="36" customWidth="1"/>
    <col min="9" max="16384" width="9" style="36"/>
  </cols>
  <sheetData>
    <row r="1" spans="1:16" ht="15.5" customHeight="1"/>
    <row r="2" spans="1:16" s="93" customFormat="1" ht="6.75" customHeight="1"/>
    <row r="3" spans="1:16" s="59" customFormat="1" ht="29.75" customHeight="1">
      <c r="A3" s="79"/>
      <c r="B3" s="78" t="s">
        <v>97</v>
      </c>
      <c r="C3" s="78"/>
      <c r="D3" s="79"/>
      <c r="E3" s="94" t="s">
        <v>13</v>
      </c>
      <c r="F3" s="95">
        <f>地域別用途別基準値!D22</f>
        <v>3.9</v>
      </c>
      <c r="G3" s="94" t="s">
        <v>17</v>
      </c>
      <c r="H3" s="79"/>
      <c r="I3" s="79"/>
      <c r="J3" s="79"/>
      <c r="K3" s="79"/>
      <c r="L3" s="79"/>
      <c r="M3" s="79"/>
      <c r="N3" s="79"/>
      <c r="O3" s="79"/>
      <c r="P3" s="79"/>
    </row>
    <row r="4" spans="1:16" s="59" customFormat="1" ht="7" customHeight="1">
      <c r="A4" s="79"/>
      <c r="B4" s="79"/>
      <c r="C4" s="78"/>
      <c r="D4" s="79"/>
      <c r="E4" s="79"/>
      <c r="F4" s="91"/>
      <c r="G4" s="92"/>
      <c r="H4" s="90"/>
      <c r="I4" s="90"/>
      <c r="J4" s="79"/>
      <c r="K4" s="79"/>
      <c r="L4" s="79"/>
      <c r="M4" s="79"/>
      <c r="N4" s="79"/>
      <c r="O4" s="79"/>
      <c r="P4" s="79"/>
    </row>
    <row r="6" spans="1:16" hidden="1">
      <c r="B6" s="36" t="s">
        <v>16</v>
      </c>
      <c r="C6" s="73">
        <f>基本情報!D6</f>
        <v>6</v>
      </c>
    </row>
    <row r="7" spans="1:16" ht="24.75" customHeight="1">
      <c r="B7" s="80" t="s">
        <v>367</v>
      </c>
      <c r="C7" s="81"/>
      <c r="D7" s="81"/>
      <c r="E7" s="81"/>
      <c r="F7" s="81"/>
      <c r="G7" s="81"/>
      <c r="H7" s="81"/>
      <c r="I7" s="81"/>
      <c r="J7" s="81"/>
      <c r="K7" s="81"/>
      <c r="L7" s="81"/>
    </row>
    <row r="8" spans="1:16" ht="10.5" customHeight="1"/>
    <row r="9" spans="1:16" ht="37.25" customHeight="1">
      <c r="B9" s="82" t="s">
        <v>366</v>
      </c>
      <c r="C9" s="271" t="s">
        <v>363</v>
      </c>
      <c r="D9" s="271"/>
      <c r="E9" s="83" t="s">
        <v>365</v>
      </c>
      <c r="F9" s="271" t="s">
        <v>364</v>
      </c>
      <c r="G9" s="271"/>
      <c r="H9" s="83" t="s">
        <v>365</v>
      </c>
      <c r="I9" s="292" t="s">
        <v>528</v>
      </c>
      <c r="J9" s="292"/>
      <c r="K9" s="292"/>
      <c r="L9" s="292"/>
    </row>
    <row r="10" spans="1:16" s="39" customFormat="1" ht="30" customHeight="1">
      <c r="B10" s="300" t="s">
        <v>445</v>
      </c>
      <c r="C10" s="269" t="s">
        <v>409</v>
      </c>
      <c r="D10" s="270"/>
      <c r="E10" s="303">
        <f>F3*計算過程!B127</f>
        <v>3.9</v>
      </c>
      <c r="F10" s="269" t="s">
        <v>409</v>
      </c>
      <c r="G10" s="270"/>
      <c r="H10" s="303">
        <f>F3*計算過程!B128</f>
        <v>0.97499999999999998</v>
      </c>
      <c r="I10" s="294" t="s">
        <v>536</v>
      </c>
      <c r="J10" s="295"/>
      <c r="K10" s="295"/>
      <c r="L10" s="296"/>
    </row>
    <row r="11" spans="1:16" s="39" customFormat="1" ht="30" customHeight="1">
      <c r="B11" s="301"/>
      <c r="C11" s="245" t="s">
        <v>400</v>
      </c>
      <c r="D11" s="245"/>
      <c r="E11" s="304"/>
      <c r="F11" s="245" t="s">
        <v>403</v>
      </c>
      <c r="G11" s="245"/>
      <c r="H11" s="304"/>
      <c r="I11" s="297"/>
      <c r="J11" s="298"/>
      <c r="K11" s="298"/>
      <c r="L11" s="299"/>
    </row>
    <row r="12" spans="1:16" s="39" customFormat="1" ht="30" customHeight="1">
      <c r="B12" s="302"/>
      <c r="C12" s="269" t="s">
        <v>509</v>
      </c>
      <c r="D12" s="270"/>
      <c r="E12" s="305"/>
      <c r="F12" s="269" t="s">
        <v>407</v>
      </c>
      <c r="G12" s="270"/>
      <c r="H12" s="305"/>
      <c r="I12" s="297"/>
      <c r="J12" s="298"/>
      <c r="K12" s="298"/>
      <c r="L12" s="299"/>
    </row>
    <row r="13" spans="1:16" s="39" customFormat="1" ht="29.75" customHeight="1">
      <c r="B13" s="88" t="s">
        <v>37</v>
      </c>
      <c r="C13" s="245" t="s">
        <v>446</v>
      </c>
      <c r="D13" s="245"/>
      <c r="E13" s="77">
        <f>E10*計算過程!B134</f>
        <v>3.7439999999999998</v>
      </c>
      <c r="F13" s="245" t="s">
        <v>447</v>
      </c>
      <c r="G13" s="245"/>
      <c r="H13" s="77">
        <f>H10*計算過程!B135</f>
        <v>0.88724999999999998</v>
      </c>
      <c r="I13" s="293"/>
      <c r="J13" s="293"/>
      <c r="K13" s="293"/>
      <c r="L13" s="293"/>
    </row>
    <row r="14" spans="1:16" s="39" customFormat="1" ht="29.75" customHeight="1">
      <c r="B14" s="88" t="s">
        <v>438</v>
      </c>
      <c r="C14" s="269" t="s">
        <v>504</v>
      </c>
      <c r="D14" s="270"/>
      <c r="E14" s="77">
        <f>E13*計算過程!B140</f>
        <v>3.7439999999999998</v>
      </c>
      <c r="F14" s="269" t="s">
        <v>449</v>
      </c>
      <c r="G14" s="270"/>
      <c r="H14" s="77">
        <f>H13*計算過程!B141</f>
        <v>0.70092750000000004</v>
      </c>
      <c r="I14" s="293"/>
      <c r="J14" s="293"/>
      <c r="K14" s="293"/>
      <c r="L14" s="293"/>
    </row>
    <row r="15" spans="1:16" s="39" customFormat="1" ht="29.75" customHeight="1">
      <c r="B15" s="88" t="s">
        <v>448</v>
      </c>
      <c r="C15" s="269" t="s">
        <v>508</v>
      </c>
      <c r="D15" s="270"/>
      <c r="E15" s="77">
        <f>E14*計算過程!B148</f>
        <v>3.7439999999999998</v>
      </c>
      <c r="F15" s="269" t="s">
        <v>508</v>
      </c>
      <c r="G15" s="270"/>
      <c r="H15" s="77">
        <f>H14*計算過程!B149</f>
        <v>0.70092750000000004</v>
      </c>
      <c r="I15" s="293"/>
      <c r="J15" s="293"/>
      <c r="K15" s="293"/>
      <c r="L15" s="293"/>
    </row>
    <row r="16" spans="1:16" s="39" customFormat="1" ht="30" customHeight="1">
      <c r="B16" s="88" t="s">
        <v>453</v>
      </c>
      <c r="C16" s="245" t="s">
        <v>501</v>
      </c>
      <c r="D16" s="245"/>
      <c r="E16" s="77">
        <f>E15*計算過程!B157</f>
        <v>3.7439999999999998</v>
      </c>
      <c r="F16" s="245" t="s">
        <v>455</v>
      </c>
      <c r="G16" s="245"/>
      <c r="H16" s="77">
        <f>H15*計算過程!B158</f>
        <v>0.59578837500000004</v>
      </c>
      <c r="I16" s="293"/>
      <c r="J16" s="293"/>
      <c r="K16" s="293"/>
      <c r="L16" s="293"/>
    </row>
    <row r="17" spans="2:12" s="39" customFormat="1" ht="14"/>
    <row r="18" spans="2:12" ht="24.75" customHeight="1">
      <c r="B18" s="80" t="s">
        <v>368</v>
      </c>
      <c r="C18" s="81"/>
      <c r="D18" s="81"/>
      <c r="E18" s="81"/>
      <c r="F18" s="81"/>
      <c r="G18" s="81"/>
      <c r="H18" s="81"/>
      <c r="I18" s="81"/>
      <c r="J18" s="81"/>
      <c r="K18" s="81"/>
      <c r="L18" s="81"/>
    </row>
    <row r="19" spans="2:12" ht="10.5" customHeight="1"/>
    <row r="20" spans="2:12" ht="29" customHeight="1" thickBot="1">
      <c r="B20" s="75" t="s">
        <v>371</v>
      </c>
    </row>
    <row r="21" spans="2:12" ht="37.25" customHeight="1">
      <c r="B21" s="84"/>
      <c r="C21" s="278" t="s">
        <v>369</v>
      </c>
      <c r="D21" s="278"/>
      <c r="E21" s="278"/>
      <c r="F21" s="278" t="s">
        <v>370</v>
      </c>
      <c r="G21" s="278"/>
      <c r="H21" s="279"/>
    </row>
    <row r="22" spans="2:12" ht="30" customHeight="1">
      <c r="B22" s="85" t="s">
        <v>102</v>
      </c>
      <c r="C22" s="291">
        <f>E16</f>
        <v>3.7439999999999998</v>
      </c>
      <c r="D22" s="291"/>
      <c r="E22" s="291"/>
      <c r="F22" s="288">
        <f>H16</f>
        <v>0.59578837500000004</v>
      </c>
      <c r="G22" s="288"/>
      <c r="H22" s="289"/>
    </row>
    <row r="23" spans="2:12" ht="30" customHeight="1">
      <c r="B23" s="85" t="s">
        <v>100</v>
      </c>
      <c r="C23" s="291">
        <f>F3-C22</f>
        <v>0.15600000000000014</v>
      </c>
      <c r="D23" s="291"/>
      <c r="E23" s="291"/>
      <c r="F23" s="288">
        <f>F3-H16</f>
        <v>3.3042116249999998</v>
      </c>
      <c r="G23" s="288"/>
      <c r="H23" s="289"/>
    </row>
    <row r="24" spans="2:12" ht="30" customHeight="1">
      <c r="B24" s="85" t="s">
        <v>99</v>
      </c>
      <c r="C24" s="312">
        <f>C23/F3*100</f>
        <v>4.0000000000000036</v>
      </c>
      <c r="D24" s="312"/>
      <c r="E24" s="312"/>
      <c r="F24" s="286">
        <f>(F3-H16)/F3*100</f>
        <v>84.723375000000004</v>
      </c>
      <c r="G24" s="286"/>
      <c r="H24" s="287"/>
    </row>
    <row r="25" spans="2:12" ht="30" customHeight="1">
      <c r="B25" s="309" t="s">
        <v>373</v>
      </c>
      <c r="C25" s="310"/>
      <c r="D25" s="310"/>
      <c r="E25" s="311"/>
      <c r="F25" s="263">
        <f>E16-H16</f>
        <v>3.1482116249999996</v>
      </c>
      <c r="G25" s="263"/>
      <c r="H25" s="264"/>
      <c r="I25" s="40"/>
    </row>
    <row r="26" spans="2:12" ht="30" customHeight="1" thickBot="1">
      <c r="B26" s="306" t="s">
        <v>374</v>
      </c>
      <c r="C26" s="307"/>
      <c r="D26" s="307"/>
      <c r="E26" s="308"/>
      <c r="F26" s="261">
        <f>F25/C22*100</f>
        <v>84.08684895833332</v>
      </c>
      <c r="G26" s="261"/>
      <c r="H26" s="262"/>
      <c r="I26" s="40"/>
    </row>
    <row r="27" spans="2:12" ht="22.25" customHeight="1">
      <c r="H27" s="157" t="s">
        <v>535</v>
      </c>
      <c r="I27" s="40"/>
    </row>
    <row r="28" spans="2:12" ht="29" customHeight="1" thickBot="1">
      <c r="B28" s="75" t="s">
        <v>372</v>
      </c>
      <c r="C28" s="75"/>
      <c r="I28" s="40"/>
    </row>
    <row r="29" spans="2:12" ht="37.25" customHeight="1">
      <c r="B29" s="84"/>
      <c r="C29" s="278" t="s">
        <v>369</v>
      </c>
      <c r="D29" s="278"/>
      <c r="E29" s="278"/>
      <c r="F29" s="278" t="s">
        <v>370</v>
      </c>
      <c r="G29" s="278"/>
      <c r="H29" s="279"/>
      <c r="I29" s="40"/>
    </row>
    <row r="30" spans="2:12" ht="30" customHeight="1">
      <c r="B30" s="85" t="s">
        <v>220</v>
      </c>
      <c r="C30" s="319">
        <f>C22*1000/9.76*基本情報!$G$17</f>
        <v>10740.983606557376</v>
      </c>
      <c r="D30" s="320"/>
      <c r="E30" s="321"/>
      <c r="F30" s="316">
        <f>F22*1000/9.76*基本情報!$G$17</f>
        <v>1709.2289446721315</v>
      </c>
      <c r="G30" s="317"/>
      <c r="H30" s="318"/>
      <c r="I30" s="40"/>
    </row>
    <row r="31" spans="2:12" ht="30" customHeight="1" thickBot="1">
      <c r="B31" s="306" t="s">
        <v>375</v>
      </c>
      <c r="C31" s="307"/>
      <c r="D31" s="307"/>
      <c r="E31" s="308"/>
      <c r="F31" s="313">
        <f>C30-F30</f>
        <v>9031.7546618852448</v>
      </c>
      <c r="G31" s="314"/>
      <c r="H31" s="315"/>
      <c r="I31" s="40"/>
    </row>
    <row r="32" spans="2:12" ht="22.25" customHeight="1">
      <c r="H32" s="157" t="s">
        <v>535</v>
      </c>
    </row>
  </sheetData>
  <sheetProtection password="CC59" sheet="1" formatCells="0" formatColumns="0" formatRows="0" insertColumns="0" insertRows="0" insertHyperlinks="0" deleteColumns="0" deleteRows="0" sort="0" autoFilter="0" pivotTables="0"/>
  <mergeCells count="43">
    <mergeCell ref="F21:H21"/>
    <mergeCell ref="C21:E21"/>
    <mergeCell ref="F9:G9"/>
    <mergeCell ref="F26:H26"/>
    <mergeCell ref="C9:D9"/>
    <mergeCell ref="F13:G13"/>
    <mergeCell ref="C11:D11"/>
    <mergeCell ref="F11:G11"/>
    <mergeCell ref="C16:D16"/>
    <mergeCell ref="F16:G16"/>
    <mergeCell ref="C13:D13"/>
    <mergeCell ref="F24:H24"/>
    <mergeCell ref="F25:H25"/>
    <mergeCell ref="F23:H23"/>
    <mergeCell ref="F22:H22"/>
    <mergeCell ref="H10:H12"/>
    <mergeCell ref="F29:H29"/>
    <mergeCell ref="F31:H31"/>
    <mergeCell ref="F30:H30"/>
    <mergeCell ref="B31:E31"/>
    <mergeCell ref="C30:E30"/>
    <mergeCell ref="B26:E26"/>
    <mergeCell ref="B25:E25"/>
    <mergeCell ref="C29:E29"/>
    <mergeCell ref="C23:E23"/>
    <mergeCell ref="C22:E22"/>
    <mergeCell ref="C24:E24"/>
    <mergeCell ref="C15:D15"/>
    <mergeCell ref="F15:G15"/>
    <mergeCell ref="C12:D12"/>
    <mergeCell ref="F12:G12"/>
    <mergeCell ref="B10:B12"/>
    <mergeCell ref="E10:E12"/>
    <mergeCell ref="C14:D14"/>
    <mergeCell ref="C10:D10"/>
    <mergeCell ref="F10:G10"/>
    <mergeCell ref="F14:G14"/>
    <mergeCell ref="I9:L9"/>
    <mergeCell ref="I16:L16"/>
    <mergeCell ref="I15:L15"/>
    <mergeCell ref="I14:L14"/>
    <mergeCell ref="I13:L13"/>
    <mergeCell ref="I10:L12"/>
  </mergeCells>
  <phoneticPr fontId="1"/>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7">
        <x14:dataValidation type="list" allowBlank="1" showInputMessage="1" showErrorMessage="1">
          <x14:formula1>
            <xm:f>計算過程!$A$94:$A$96</xm:f>
          </x14:formula1>
          <xm:sqref>C12 F12</xm:sqref>
        </x14:dataValidation>
        <x14:dataValidation type="list" allowBlank="1" showInputMessage="1" showErrorMessage="1">
          <x14:formula1>
            <xm:f>計算過程!$A$130:$A$132</xm:f>
          </x14:formula1>
          <xm:sqref>F13 C13</xm:sqref>
        </x14:dataValidation>
        <x14:dataValidation type="list" allowBlank="1" showInputMessage="1" showErrorMessage="1">
          <x14:formula1>
            <xm:f>計算過程!$A$89:$A$92</xm:f>
          </x14:formula1>
          <xm:sqref>C11:D11 F11:G11</xm:sqref>
        </x14:dataValidation>
        <x14:dataValidation type="list" allowBlank="1" showInputMessage="1" showErrorMessage="1">
          <x14:formula1>
            <xm:f>計算過程!$A$84:$A$85</xm:f>
          </x14:formula1>
          <xm:sqref>C10 F10</xm:sqref>
        </x14:dataValidation>
        <x14:dataValidation type="list" allowBlank="1" showInputMessage="1" showErrorMessage="1">
          <x14:formula1>
            <xm:f>計算過程!$A$137:$A$138</xm:f>
          </x14:formula1>
          <xm:sqref>C14 F14</xm:sqref>
        </x14:dataValidation>
        <x14:dataValidation type="list" allowBlank="1" showInputMessage="1" showErrorMessage="1">
          <x14:formula1>
            <xm:f>計算過程!$A$143:$A$146</xm:f>
          </x14:formula1>
          <xm:sqref>C15 F15</xm:sqref>
        </x14:dataValidation>
        <x14:dataValidation type="list" allowBlank="1" showInputMessage="1" showErrorMessage="1">
          <x14:formula1>
            <xm:f>計算過程!$A$151:$A$155</xm:f>
          </x14:formula1>
          <xm:sqref>C16:D16 F16:G16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249977111117893"/>
  </sheetPr>
  <dimension ref="A1:R31"/>
  <sheetViews>
    <sheetView showGridLines="0" workbookViewId="0">
      <selection activeCell="E9" sqref="E9"/>
    </sheetView>
  </sheetViews>
  <sheetFormatPr baseColWidth="12" defaultColWidth="9" defaultRowHeight="17" x14ac:dyDescent="0"/>
  <cols>
    <col min="1" max="1" width="7.33203125" style="36" customWidth="1"/>
    <col min="2" max="2" width="28.33203125" style="36" customWidth="1"/>
    <col min="3" max="3" width="42.5" style="36" customWidth="1"/>
    <col min="4" max="4" width="12" style="36" customWidth="1"/>
    <col min="5" max="5" width="42.5" style="36" customWidth="1"/>
    <col min="6" max="6" width="12" style="36" customWidth="1"/>
    <col min="7" max="7" width="9" style="36"/>
    <col min="8" max="8" width="9" style="36" hidden="1" customWidth="1"/>
    <col min="9" max="10" width="9" style="36" customWidth="1"/>
    <col min="11" max="17" width="9" style="36"/>
    <col min="18" max="18" width="0" style="36" hidden="1" customWidth="1"/>
    <col min="19" max="16384" width="9" style="36"/>
  </cols>
  <sheetData>
    <row r="1" spans="1:18" ht="15.5" customHeight="1"/>
    <row r="2" spans="1:18" s="93" customFormat="1" ht="6.75" customHeight="1"/>
    <row r="3" spans="1:18" s="59" customFormat="1" ht="29.75" customHeight="1">
      <c r="A3" s="79"/>
      <c r="B3" s="78" t="s">
        <v>104</v>
      </c>
      <c r="C3" s="78"/>
      <c r="D3" s="99" t="s">
        <v>13</v>
      </c>
      <c r="E3" s="101">
        <f>地域別用途別基準値!D31</f>
        <v>23.1</v>
      </c>
      <c r="F3" s="99" t="s">
        <v>17</v>
      </c>
      <c r="G3" s="79"/>
      <c r="H3" s="79"/>
      <c r="I3" s="79"/>
      <c r="J3" s="79"/>
      <c r="K3" s="79"/>
      <c r="L3" s="79"/>
      <c r="M3" s="79"/>
      <c r="N3" s="79"/>
      <c r="O3" s="79"/>
      <c r="P3" s="79"/>
    </row>
    <row r="4" spans="1:18" s="59" customFormat="1" ht="7" customHeight="1">
      <c r="A4" s="79"/>
      <c r="B4" s="79"/>
      <c r="C4" s="78"/>
      <c r="D4" s="79"/>
      <c r="E4" s="79"/>
      <c r="F4" s="91"/>
      <c r="G4" s="92"/>
      <c r="H4" s="90"/>
      <c r="I4" s="90"/>
      <c r="J4" s="79"/>
      <c r="K4" s="79"/>
      <c r="L4" s="79"/>
      <c r="M4" s="79"/>
      <c r="N4" s="79"/>
      <c r="O4" s="79"/>
      <c r="P4" s="79"/>
    </row>
    <row r="6" spans="1:18" ht="24.75" customHeight="1">
      <c r="B6" s="80" t="s">
        <v>367</v>
      </c>
      <c r="C6" s="81"/>
      <c r="D6" s="81"/>
      <c r="E6" s="81"/>
      <c r="F6" s="81"/>
      <c r="G6" s="81"/>
      <c r="H6" s="81"/>
      <c r="I6" s="81"/>
      <c r="J6" s="81"/>
    </row>
    <row r="7" spans="1:18" ht="10.5" customHeight="1"/>
    <row r="8" spans="1:18" ht="37.25" customHeight="1">
      <c r="B8" s="82" t="s">
        <v>366</v>
      </c>
      <c r="C8" s="82" t="s">
        <v>363</v>
      </c>
      <c r="D8" s="83" t="s">
        <v>365</v>
      </c>
      <c r="E8" s="82" t="s">
        <v>364</v>
      </c>
      <c r="F8" s="83" t="s">
        <v>365</v>
      </c>
      <c r="G8" s="292" t="s">
        <v>528</v>
      </c>
      <c r="H8" s="292"/>
      <c r="I8" s="292"/>
      <c r="J8" s="292"/>
    </row>
    <row r="9" spans="1:18" s="39" customFormat="1" ht="30" customHeight="1">
      <c r="B9" s="88" t="s">
        <v>38</v>
      </c>
      <c r="C9" s="152" t="s">
        <v>557</v>
      </c>
      <c r="D9" s="100">
        <f>給湯!E3*計算過程!B174</f>
        <v>59.136000000000003</v>
      </c>
      <c r="E9" s="152" t="s">
        <v>201</v>
      </c>
      <c r="F9" s="100">
        <f>E3*計算過程!B175</f>
        <v>10.395000000000001</v>
      </c>
      <c r="G9" s="293"/>
      <c r="H9" s="293"/>
      <c r="I9" s="293"/>
      <c r="J9" s="293"/>
    </row>
    <row r="10" spans="1:18" s="39" customFormat="1" ht="30" customHeight="1">
      <c r="B10" s="88" t="s">
        <v>74</v>
      </c>
      <c r="C10" s="152" t="s">
        <v>27</v>
      </c>
      <c r="D10" s="323">
        <f>D9*計算過程!B198</f>
        <v>59.136000000000003</v>
      </c>
      <c r="E10" s="152" t="s">
        <v>36</v>
      </c>
      <c r="F10" s="323">
        <f>F9*計算過程!B199</f>
        <v>8.7318000000000016</v>
      </c>
      <c r="G10" s="329" t="s">
        <v>537</v>
      </c>
      <c r="H10" s="329"/>
      <c r="I10" s="329"/>
      <c r="J10" s="329"/>
      <c r="R10" s="39" t="s">
        <v>514</v>
      </c>
    </row>
    <row r="11" spans="1:18" s="39" customFormat="1" ht="30" customHeight="1">
      <c r="B11" s="88" t="s">
        <v>75</v>
      </c>
      <c r="C11" s="152" t="s">
        <v>27</v>
      </c>
      <c r="D11" s="324"/>
      <c r="E11" s="152" t="s">
        <v>36</v>
      </c>
      <c r="F11" s="324"/>
      <c r="G11" s="329"/>
      <c r="H11" s="329"/>
      <c r="I11" s="329"/>
      <c r="J11" s="329"/>
      <c r="R11" s="39" t="s">
        <v>513</v>
      </c>
    </row>
    <row r="12" spans="1:18" s="39" customFormat="1" ht="30" customHeight="1">
      <c r="B12" s="88" t="s">
        <v>76</v>
      </c>
      <c r="C12" s="152" t="s">
        <v>27</v>
      </c>
      <c r="D12" s="324"/>
      <c r="E12" s="152" t="s">
        <v>36</v>
      </c>
      <c r="F12" s="324"/>
      <c r="G12" s="329"/>
      <c r="H12" s="329"/>
      <c r="I12" s="329"/>
      <c r="J12" s="329"/>
    </row>
    <row r="13" spans="1:18" s="39" customFormat="1" ht="30" customHeight="1">
      <c r="B13" s="88" t="s">
        <v>77</v>
      </c>
      <c r="C13" s="152" t="s">
        <v>27</v>
      </c>
      <c r="D13" s="325"/>
      <c r="E13" s="152" t="s">
        <v>36</v>
      </c>
      <c r="F13" s="325"/>
      <c r="G13" s="329"/>
      <c r="H13" s="329"/>
      <c r="I13" s="329"/>
      <c r="J13" s="329"/>
    </row>
    <row r="14" spans="1:18" s="39" customFormat="1" ht="30" customHeight="1">
      <c r="B14" s="88" t="s">
        <v>46</v>
      </c>
      <c r="C14" s="152" t="s">
        <v>515</v>
      </c>
      <c r="D14" s="100">
        <f>D10*計算過程!B204</f>
        <v>59.136000000000003</v>
      </c>
      <c r="E14" s="152" t="s">
        <v>47</v>
      </c>
      <c r="F14" s="100">
        <f>F10*計算過程!B205</f>
        <v>8.557164000000002</v>
      </c>
      <c r="G14" s="322"/>
      <c r="H14" s="322"/>
      <c r="I14" s="322"/>
      <c r="J14" s="322"/>
    </row>
    <row r="15" spans="1:18" s="39" customFormat="1" ht="30" customHeight="1">
      <c r="B15" s="88" t="s">
        <v>48</v>
      </c>
      <c r="C15" s="152" t="s">
        <v>503</v>
      </c>
      <c r="D15" s="100">
        <f>D14*計算過程!B210</f>
        <v>59.136000000000003</v>
      </c>
      <c r="E15" s="152" t="s">
        <v>36</v>
      </c>
      <c r="F15" s="100">
        <f>F14*計算過程!B211</f>
        <v>8.3004490800000017</v>
      </c>
      <c r="G15" s="322"/>
      <c r="H15" s="322"/>
      <c r="I15" s="322"/>
      <c r="J15" s="322"/>
    </row>
    <row r="16" spans="1:18" s="39" customFormat="1" ht="14"/>
    <row r="17" spans="2:10" ht="24.75" customHeight="1">
      <c r="B17" s="80" t="s">
        <v>368</v>
      </c>
      <c r="C17" s="81"/>
      <c r="D17" s="81"/>
      <c r="E17" s="81"/>
      <c r="F17" s="81"/>
      <c r="G17" s="81"/>
      <c r="H17" s="81"/>
      <c r="I17" s="81"/>
      <c r="J17" s="81"/>
    </row>
    <row r="18" spans="2:10" ht="10.5" customHeight="1"/>
    <row r="19" spans="2:10" ht="29" customHeight="1" thickBot="1">
      <c r="B19" s="75" t="s">
        <v>371</v>
      </c>
    </row>
    <row r="20" spans="2:10" ht="37.25" customHeight="1">
      <c r="B20" s="84"/>
      <c r="C20" s="278" t="s">
        <v>369</v>
      </c>
      <c r="D20" s="278"/>
      <c r="E20" s="278" t="s">
        <v>370</v>
      </c>
      <c r="F20" s="279"/>
      <c r="G20" s="103"/>
      <c r="H20" s="102"/>
    </row>
    <row r="21" spans="2:10" s="39" customFormat="1" ht="30" customHeight="1">
      <c r="B21" s="85" t="s">
        <v>102</v>
      </c>
      <c r="C21" s="328">
        <f>D15</f>
        <v>59.136000000000003</v>
      </c>
      <c r="D21" s="328"/>
      <c r="E21" s="326">
        <f>F15</f>
        <v>8.3004490800000017</v>
      </c>
      <c r="F21" s="327"/>
    </row>
    <row r="22" spans="2:10" s="39" customFormat="1" ht="30" customHeight="1">
      <c r="B22" s="85" t="s">
        <v>100</v>
      </c>
      <c r="C22" s="328">
        <f>E3-D15</f>
        <v>-36.036000000000001</v>
      </c>
      <c r="D22" s="328"/>
      <c r="E22" s="326">
        <f>E3-E21</f>
        <v>14.79955092</v>
      </c>
      <c r="F22" s="327"/>
    </row>
    <row r="23" spans="2:10" s="39" customFormat="1" ht="30" customHeight="1">
      <c r="B23" s="85" t="s">
        <v>99</v>
      </c>
      <c r="C23" s="330">
        <f>C22/E3*100</f>
        <v>-156</v>
      </c>
      <c r="D23" s="330"/>
      <c r="E23" s="331">
        <f>E22/E3*100</f>
        <v>64.067319999999995</v>
      </c>
      <c r="F23" s="332"/>
    </row>
    <row r="24" spans="2:10" s="39" customFormat="1" ht="30" customHeight="1">
      <c r="B24" s="259" t="s">
        <v>373</v>
      </c>
      <c r="C24" s="260"/>
      <c r="D24" s="260"/>
      <c r="E24" s="335">
        <f>C21-E21</f>
        <v>50.835550920000003</v>
      </c>
      <c r="F24" s="336"/>
      <c r="G24" s="36"/>
    </row>
    <row r="25" spans="2:10" s="39" customFormat="1" ht="30" customHeight="1" thickBot="1">
      <c r="B25" s="257" t="s">
        <v>374</v>
      </c>
      <c r="C25" s="258"/>
      <c r="D25" s="258"/>
      <c r="E25" s="333">
        <f>E24/C21*100</f>
        <v>85.963796875</v>
      </c>
      <c r="F25" s="334"/>
      <c r="G25" s="36"/>
    </row>
    <row r="26" spans="2:10" ht="20.75" customHeight="1">
      <c r="F26" s="157" t="s">
        <v>535</v>
      </c>
    </row>
    <row r="27" spans="2:10" ht="29" customHeight="1" thickBot="1">
      <c r="B27" s="75" t="s">
        <v>372</v>
      </c>
      <c r="C27" s="75"/>
    </row>
    <row r="28" spans="2:10" ht="37.25" customHeight="1">
      <c r="B28" s="84"/>
      <c r="C28" s="278" t="s">
        <v>369</v>
      </c>
      <c r="D28" s="278"/>
      <c r="E28" s="278" t="s">
        <v>370</v>
      </c>
      <c r="F28" s="279"/>
      <c r="G28" s="103"/>
      <c r="H28" s="102"/>
    </row>
    <row r="29" spans="2:10" ht="30" customHeight="1">
      <c r="B29" s="85" t="s">
        <v>221</v>
      </c>
      <c r="C29" s="274">
        <f>光熱費の計算!G65</f>
        <v>157534.42622950822</v>
      </c>
      <c r="D29" s="274"/>
      <c r="E29" s="274">
        <f>光熱費の計算!I65</f>
        <v>27039.642140468233</v>
      </c>
      <c r="F29" s="275"/>
    </row>
    <row r="30" spans="2:10" ht="30" customHeight="1" thickBot="1">
      <c r="B30" s="306" t="s">
        <v>375</v>
      </c>
      <c r="C30" s="307"/>
      <c r="D30" s="308"/>
      <c r="E30" s="276">
        <f>C29-E29</f>
        <v>130494.78408903998</v>
      </c>
      <c r="F30" s="277"/>
    </row>
    <row r="31" spans="2:10" ht="21.75" customHeight="1">
      <c r="F31" s="157" t="s">
        <v>535</v>
      </c>
    </row>
  </sheetData>
  <sheetProtection password="CC59" sheet="1" formatCells="0" formatColumns="0" formatRows="0" insertColumns="0" insertRows="0" insertHyperlinks="0" deleteColumns="0" deleteRows="0" sort="0" autoFilter="0" pivotTables="0"/>
  <mergeCells count="25">
    <mergeCell ref="E30:F30"/>
    <mergeCell ref="E25:F25"/>
    <mergeCell ref="E24:F24"/>
    <mergeCell ref="B25:D25"/>
    <mergeCell ref="B24:D24"/>
    <mergeCell ref="C28:D28"/>
    <mergeCell ref="E28:F28"/>
    <mergeCell ref="B30:D30"/>
    <mergeCell ref="E22:F22"/>
    <mergeCell ref="C21:D21"/>
    <mergeCell ref="C22:D22"/>
    <mergeCell ref="G10:J13"/>
    <mergeCell ref="C29:D29"/>
    <mergeCell ref="E29:F29"/>
    <mergeCell ref="C23:D23"/>
    <mergeCell ref="E23:F23"/>
    <mergeCell ref="E21:F21"/>
    <mergeCell ref="C20:D20"/>
    <mergeCell ref="E20:F20"/>
    <mergeCell ref="G8:J8"/>
    <mergeCell ref="G15:J15"/>
    <mergeCell ref="G14:J14"/>
    <mergeCell ref="G9:J9"/>
    <mergeCell ref="D10:D13"/>
    <mergeCell ref="F10:F13"/>
  </mergeCells>
  <phoneticPr fontId="1"/>
  <dataValidations count="1">
    <dataValidation type="list" allowBlank="1" showInputMessage="1" showErrorMessage="1" sqref="C10:C13 E10:E13">
      <formula1>$R$10:$R$11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計算過程!$A$201:$A$202</xm:f>
          </x14:formula1>
          <xm:sqref>C14 E14</xm:sqref>
        </x14:dataValidation>
        <x14:dataValidation type="list" allowBlank="1" showInputMessage="1" showErrorMessage="1">
          <x14:formula1>
            <xm:f>計算過程!$A$207:$A$208</xm:f>
          </x14:formula1>
          <xm:sqref>C15 E15</xm:sqref>
        </x14:dataValidation>
        <x14:dataValidation type="list" allowBlank="1" showInputMessage="1" showErrorMessage="1">
          <x14:formula1>
            <xm:f>計算過程!$A$162:$A$172</xm:f>
          </x14:formula1>
          <xm:sqref>C9:F9</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249977111117893"/>
  </sheetPr>
  <dimension ref="A1:P117"/>
  <sheetViews>
    <sheetView showGridLines="0" topLeftCell="A82" workbookViewId="0">
      <selection activeCell="E82" sqref="E82"/>
    </sheetView>
  </sheetViews>
  <sheetFormatPr baseColWidth="12" defaultColWidth="9" defaultRowHeight="17" x14ac:dyDescent="0"/>
  <cols>
    <col min="1" max="1" width="7.33203125" style="36" customWidth="1"/>
    <col min="2" max="2" width="28.33203125" style="36" customWidth="1"/>
    <col min="3" max="3" width="42.5" style="36" customWidth="1"/>
    <col min="4" max="4" width="12.33203125" style="36" customWidth="1"/>
    <col min="5" max="5" width="42.5" style="36" customWidth="1"/>
    <col min="6" max="6" width="12.5" style="36" customWidth="1"/>
    <col min="7" max="7" width="9" style="36"/>
    <col min="8" max="9" width="9" style="36" hidden="1" customWidth="1"/>
    <col min="10" max="16384" width="9" style="36"/>
  </cols>
  <sheetData>
    <row r="1" spans="1:16" ht="15.5" customHeight="1"/>
    <row r="2" spans="1:16" s="93" customFormat="1" ht="6.75" customHeight="1"/>
    <row r="3" spans="1:16" s="59" customFormat="1" ht="29.75" customHeight="1">
      <c r="A3" s="79"/>
      <c r="B3" s="78" t="s">
        <v>103</v>
      </c>
      <c r="C3" s="78"/>
      <c r="D3" s="99" t="s">
        <v>13</v>
      </c>
      <c r="E3" s="97">
        <f>地域別用途別基準値!D40</f>
        <v>8.1999999999999993</v>
      </c>
      <c r="F3" s="99" t="s">
        <v>17</v>
      </c>
      <c r="G3" s="79"/>
      <c r="H3" s="79"/>
      <c r="I3" s="79"/>
      <c r="J3" s="79"/>
      <c r="K3" s="79"/>
      <c r="L3" s="79"/>
      <c r="M3" s="79"/>
      <c r="N3" s="79"/>
      <c r="O3" s="79"/>
      <c r="P3" s="79"/>
    </row>
    <row r="4" spans="1:16" s="59" customFormat="1" ht="7" customHeight="1">
      <c r="A4" s="79"/>
      <c r="B4" s="79"/>
      <c r="C4" s="78"/>
      <c r="D4" s="79"/>
      <c r="E4" s="79"/>
      <c r="F4" s="91"/>
      <c r="G4" s="92"/>
      <c r="H4" s="90"/>
      <c r="I4" s="90"/>
      <c r="J4" s="79"/>
      <c r="K4" s="79"/>
      <c r="L4" s="79"/>
      <c r="M4" s="79"/>
      <c r="N4" s="79"/>
      <c r="O4" s="79"/>
      <c r="P4" s="79"/>
    </row>
    <row r="6" spans="1:16" ht="24.75" customHeight="1">
      <c r="B6" s="80" t="s">
        <v>367</v>
      </c>
      <c r="C6" s="81"/>
      <c r="D6" s="81"/>
      <c r="E6" s="81"/>
      <c r="F6" s="81"/>
      <c r="G6" s="96"/>
      <c r="H6" s="96"/>
    </row>
    <row r="7" spans="1:16" ht="10.5" customHeight="1"/>
    <row r="8" spans="1:16" ht="37.25" customHeight="1">
      <c r="B8" s="82" t="s">
        <v>366</v>
      </c>
      <c r="C8" s="82" t="s">
        <v>363</v>
      </c>
      <c r="D8" s="83" t="s">
        <v>365</v>
      </c>
      <c r="E8" s="82" t="s">
        <v>364</v>
      </c>
      <c r="F8" s="83" t="s">
        <v>365</v>
      </c>
    </row>
    <row r="9" spans="1:16" s="39" customFormat="1" ht="30" customHeight="1">
      <c r="B9" s="88" t="s">
        <v>50</v>
      </c>
      <c r="C9" s="74" t="s">
        <v>516</v>
      </c>
      <c r="D9" s="106">
        <f>E3*計算過程!B219</f>
        <v>8.1999999999999993</v>
      </c>
      <c r="E9" s="74" t="s">
        <v>51</v>
      </c>
      <c r="F9" s="106">
        <f>E3*計算過程!B220</f>
        <v>6.56</v>
      </c>
      <c r="G9" s="76"/>
    </row>
    <row r="10" spans="1:16" s="39" customFormat="1" ht="30" customHeight="1">
      <c r="B10" s="88" t="s">
        <v>56</v>
      </c>
      <c r="C10" s="74" t="s">
        <v>503</v>
      </c>
      <c r="D10" s="106">
        <f>D9*計算過程!B228</f>
        <v>8.1999999999999993</v>
      </c>
      <c r="E10" s="74" t="s">
        <v>55</v>
      </c>
      <c r="F10" s="106">
        <f>F9*計算過程!B229</f>
        <v>4.6287359999999991</v>
      </c>
      <c r="G10" s="76"/>
    </row>
    <row r="11" spans="1:16" s="39" customFormat="1" ht="30" customHeight="1">
      <c r="B11" s="88" t="s">
        <v>57</v>
      </c>
      <c r="C11" s="74" t="s">
        <v>517</v>
      </c>
      <c r="D11" s="106">
        <f>D10*計算過程!B234</f>
        <v>8.1999999999999993</v>
      </c>
      <c r="E11" s="74" t="s">
        <v>58</v>
      </c>
      <c r="F11" s="106">
        <f>F10*計算過程!B235</f>
        <v>4.1658623999999991</v>
      </c>
      <c r="G11" s="76"/>
    </row>
    <row r="12" spans="1:16" s="39" customFormat="1" ht="14"/>
    <row r="13" spans="1:16" ht="24.75" customHeight="1">
      <c r="B13" s="80" t="s">
        <v>368</v>
      </c>
      <c r="C13" s="81"/>
      <c r="D13" s="81"/>
      <c r="E13" s="81"/>
      <c r="F13" s="81"/>
      <c r="G13" s="96"/>
      <c r="H13" s="96"/>
      <c r="I13" s="98"/>
    </row>
    <row r="14" spans="1:16" ht="10.5" customHeight="1"/>
    <row r="15" spans="1:16" ht="29" customHeight="1" thickBot="1">
      <c r="B15" s="75" t="s">
        <v>371</v>
      </c>
    </row>
    <row r="16" spans="1:16" ht="37.25" customHeight="1">
      <c r="B16" s="84"/>
      <c r="C16" s="278" t="s">
        <v>369</v>
      </c>
      <c r="D16" s="278"/>
      <c r="E16" s="278" t="s">
        <v>370</v>
      </c>
      <c r="F16" s="279"/>
      <c r="G16" s="103"/>
      <c r="H16" s="103"/>
    </row>
    <row r="17" spans="1:16" s="39" customFormat="1" ht="30" customHeight="1">
      <c r="B17" s="85" t="s">
        <v>102</v>
      </c>
      <c r="C17" s="328">
        <f>D11</f>
        <v>8.1999999999999993</v>
      </c>
      <c r="D17" s="328"/>
      <c r="E17" s="326">
        <f>F11</f>
        <v>4.1658623999999991</v>
      </c>
      <c r="F17" s="327"/>
    </row>
    <row r="18" spans="1:16" s="39" customFormat="1" ht="30" customHeight="1">
      <c r="B18" s="85" t="s">
        <v>100</v>
      </c>
      <c r="C18" s="328">
        <f>E3-D11</f>
        <v>0</v>
      </c>
      <c r="D18" s="328"/>
      <c r="E18" s="326">
        <f>E3-E17</f>
        <v>4.0341376000000002</v>
      </c>
      <c r="F18" s="327"/>
    </row>
    <row r="19" spans="1:16" s="39" customFormat="1" ht="30" customHeight="1">
      <c r="B19" s="85" t="s">
        <v>99</v>
      </c>
      <c r="C19" s="330">
        <f>C18/E3*100</f>
        <v>0</v>
      </c>
      <c r="D19" s="330"/>
      <c r="E19" s="331">
        <f>E18/E3*100</f>
        <v>49.19680000000001</v>
      </c>
      <c r="F19" s="332"/>
    </row>
    <row r="20" spans="1:16" s="39" customFormat="1" ht="30" customHeight="1">
      <c r="B20" s="259" t="s">
        <v>373</v>
      </c>
      <c r="C20" s="260"/>
      <c r="D20" s="260"/>
      <c r="E20" s="335">
        <f>C17-E17</f>
        <v>4.0341376000000002</v>
      </c>
      <c r="F20" s="336"/>
      <c r="G20" s="36"/>
    </row>
    <row r="21" spans="1:16" s="39" customFormat="1" ht="30" customHeight="1" thickBot="1">
      <c r="B21" s="257" t="s">
        <v>374</v>
      </c>
      <c r="C21" s="258"/>
      <c r="D21" s="258"/>
      <c r="E21" s="342">
        <f>E20/D11*100</f>
        <v>49.19680000000001</v>
      </c>
      <c r="F21" s="343"/>
      <c r="G21" s="36"/>
    </row>
    <row r="22" spans="1:16" s="39" customFormat="1" ht="21.75" customHeight="1">
      <c r="B22" s="72"/>
      <c r="F22" s="157" t="s">
        <v>535</v>
      </c>
    </row>
    <row r="23" spans="1:16" ht="29" customHeight="1" thickBot="1">
      <c r="B23" s="75" t="s">
        <v>372</v>
      </c>
      <c r="C23" s="75"/>
    </row>
    <row r="24" spans="1:16" ht="37.25" customHeight="1">
      <c r="B24" s="84"/>
      <c r="C24" s="278" t="s">
        <v>369</v>
      </c>
      <c r="D24" s="278"/>
      <c r="E24" s="278" t="s">
        <v>370</v>
      </c>
      <c r="F24" s="279"/>
      <c r="G24" s="103"/>
      <c r="H24" s="103"/>
    </row>
    <row r="25" spans="1:16" ht="30" customHeight="1">
      <c r="B25" s="85" t="s">
        <v>222</v>
      </c>
      <c r="C25" s="274">
        <f>C17*1000/9.76*光熱費の計算!D83</f>
        <v>21844.262295081968</v>
      </c>
      <c r="D25" s="274"/>
      <c r="E25" s="340">
        <f>E17*1000/9.76*光熱費の計算!E83</f>
        <v>11097.58426229508</v>
      </c>
      <c r="F25" s="341"/>
    </row>
    <row r="26" spans="1:16" ht="30" customHeight="1" thickBot="1">
      <c r="B26" s="306" t="s">
        <v>375</v>
      </c>
      <c r="C26" s="307"/>
      <c r="D26" s="308"/>
      <c r="E26" s="276">
        <f>C25-E25</f>
        <v>10746.678032786887</v>
      </c>
      <c r="F26" s="277"/>
    </row>
    <row r="27" spans="1:16" ht="18.75" customHeight="1">
      <c r="F27" s="157" t="s">
        <v>535</v>
      </c>
    </row>
    <row r="28" spans="1:16" ht="20.75" customHeight="1">
      <c r="F28" s="157"/>
    </row>
    <row r="29" spans="1:16" s="93" customFormat="1" ht="6.75" customHeight="1"/>
    <row r="30" spans="1:16" s="59" customFormat="1" ht="29.75" customHeight="1">
      <c r="A30" s="79"/>
      <c r="B30" s="78" t="s">
        <v>105</v>
      </c>
      <c r="C30" s="78"/>
      <c r="D30" s="99" t="s">
        <v>13</v>
      </c>
      <c r="E30" s="97">
        <f>地域別用途別基準値!D49</f>
        <v>1.2</v>
      </c>
      <c r="F30" s="99" t="s">
        <v>17</v>
      </c>
      <c r="G30" s="79"/>
      <c r="H30" s="79"/>
      <c r="I30" s="79"/>
      <c r="J30" s="79"/>
      <c r="K30" s="79"/>
      <c r="L30" s="79"/>
      <c r="M30" s="79"/>
      <c r="N30" s="79"/>
      <c r="O30" s="79"/>
      <c r="P30" s="79"/>
    </row>
    <row r="31" spans="1:16" s="59" customFormat="1" ht="7" customHeight="1">
      <c r="A31" s="79"/>
      <c r="B31" s="79"/>
      <c r="C31" s="78"/>
      <c r="D31" s="79"/>
      <c r="E31" s="79"/>
      <c r="F31" s="91"/>
      <c r="G31" s="92"/>
      <c r="H31" s="90"/>
      <c r="I31" s="90"/>
      <c r="J31" s="79"/>
      <c r="K31" s="79"/>
      <c r="L31" s="79"/>
      <c r="M31" s="79"/>
      <c r="N31" s="79"/>
      <c r="O31" s="79"/>
      <c r="P31" s="79"/>
    </row>
    <row r="33" spans="2:9" ht="24.75" customHeight="1">
      <c r="B33" s="80" t="s">
        <v>367</v>
      </c>
      <c r="C33" s="81"/>
      <c r="D33" s="81"/>
      <c r="E33" s="81"/>
      <c r="F33" s="81"/>
      <c r="G33" s="96"/>
      <c r="H33" s="96"/>
    </row>
    <row r="34" spans="2:9" ht="10.5" customHeight="1"/>
    <row r="35" spans="2:9" ht="37.25" customHeight="1">
      <c r="B35" s="82"/>
      <c r="C35" s="271" t="s">
        <v>369</v>
      </c>
      <c r="D35" s="271"/>
      <c r="E35" s="271" t="s">
        <v>370</v>
      </c>
      <c r="F35" s="271"/>
      <c r="H35" s="39" t="s">
        <v>378</v>
      </c>
    </row>
    <row r="36" spans="2:9" s="39" customFormat="1" ht="30" customHeight="1">
      <c r="B36" s="108" t="s">
        <v>377</v>
      </c>
      <c r="C36" s="339" t="s">
        <v>376</v>
      </c>
      <c r="D36" s="339"/>
      <c r="E36" s="339" t="s">
        <v>376</v>
      </c>
      <c r="F36" s="339"/>
      <c r="H36" s="39" t="s">
        <v>376</v>
      </c>
    </row>
    <row r="37" spans="2:9" s="39" customFormat="1" ht="44.5" customHeight="1">
      <c r="B37" s="109" t="s">
        <v>380</v>
      </c>
      <c r="C37" s="236">
        <v>1.22</v>
      </c>
      <c r="D37" s="111" t="s">
        <v>379</v>
      </c>
      <c r="E37" s="236">
        <v>2.64</v>
      </c>
      <c r="F37" s="112" t="s">
        <v>379</v>
      </c>
    </row>
    <row r="38" spans="2:9" s="39" customFormat="1" ht="44.5" customHeight="1">
      <c r="B38" s="109" t="s">
        <v>386</v>
      </c>
      <c r="C38" s="74" t="s">
        <v>518</v>
      </c>
      <c r="D38" s="77">
        <f>IF(C36="一次エネルギー消費量を手入力",C37,E30*計算過程!B243)</f>
        <v>1.2</v>
      </c>
      <c r="E38" s="74" t="s">
        <v>60</v>
      </c>
      <c r="F38" s="77">
        <f>IF(E36="一次エネルギー消費量を手入力",E37,E30*計算過程!B244)</f>
        <v>2.2799999999999998</v>
      </c>
    </row>
    <row r="39" spans="2:9" s="39" customFormat="1" ht="30" customHeight="1">
      <c r="B39" s="72"/>
      <c r="D39" s="107"/>
      <c r="F39" s="107"/>
    </row>
    <row r="40" spans="2:9" ht="24.75" customHeight="1">
      <c r="B40" s="80" t="s">
        <v>368</v>
      </c>
      <c r="C40" s="81"/>
      <c r="D40" s="81"/>
      <c r="E40" s="81"/>
      <c r="F40" s="81"/>
      <c r="G40" s="96"/>
      <c r="H40" s="96"/>
      <c r="I40" s="98"/>
    </row>
    <row r="41" spans="2:9" s="39" customFormat="1" ht="7.5" customHeight="1"/>
    <row r="42" spans="2:9" ht="29" customHeight="1" thickBot="1">
      <c r="B42" s="75" t="s">
        <v>371</v>
      </c>
    </row>
    <row r="43" spans="2:9" ht="37.25" customHeight="1">
      <c r="B43" s="84"/>
      <c r="C43" s="278" t="s">
        <v>369</v>
      </c>
      <c r="D43" s="278"/>
      <c r="E43" s="278" t="s">
        <v>370</v>
      </c>
      <c r="F43" s="279"/>
      <c r="G43" s="103"/>
      <c r="H43" s="103"/>
    </row>
    <row r="44" spans="2:9" s="39" customFormat="1" ht="30" customHeight="1">
      <c r="B44" s="85" t="s">
        <v>102</v>
      </c>
      <c r="C44" s="328">
        <f>D38</f>
        <v>1.2</v>
      </c>
      <c r="D44" s="328"/>
      <c r="E44" s="326">
        <f>F38</f>
        <v>2.2799999999999998</v>
      </c>
      <c r="F44" s="327"/>
    </row>
    <row r="45" spans="2:9" s="39" customFormat="1" ht="30" customHeight="1">
      <c r="B45" s="85" t="s">
        <v>100</v>
      </c>
      <c r="C45" s="328">
        <f>E30-C44</f>
        <v>0</v>
      </c>
      <c r="D45" s="328"/>
      <c r="E45" s="326">
        <f>E30-E44</f>
        <v>-1.0799999999999998</v>
      </c>
      <c r="F45" s="327"/>
    </row>
    <row r="46" spans="2:9" s="39" customFormat="1" ht="30" customHeight="1">
      <c r="B46" s="85" t="s">
        <v>99</v>
      </c>
      <c r="C46" s="328">
        <f>C45/E30*100</f>
        <v>0</v>
      </c>
      <c r="D46" s="328"/>
      <c r="E46" s="331">
        <f>E45/E30*100</f>
        <v>-89.999999999999986</v>
      </c>
      <c r="F46" s="332"/>
    </row>
    <row r="47" spans="2:9" s="39" customFormat="1" ht="30" customHeight="1">
      <c r="B47" s="259" t="s">
        <v>373</v>
      </c>
      <c r="C47" s="260"/>
      <c r="D47" s="260"/>
      <c r="E47" s="335">
        <f>C44-E44</f>
        <v>-1.0799999999999998</v>
      </c>
      <c r="F47" s="336"/>
      <c r="G47" s="36"/>
    </row>
    <row r="48" spans="2:9" s="39" customFormat="1" ht="30" customHeight="1" thickBot="1">
      <c r="B48" s="257" t="s">
        <v>374</v>
      </c>
      <c r="C48" s="258"/>
      <c r="D48" s="258"/>
      <c r="E48" s="342">
        <f>E47/D38*100</f>
        <v>-89.999999999999986</v>
      </c>
      <c r="F48" s="343"/>
      <c r="G48" s="36"/>
    </row>
    <row r="49" spans="1:16" ht="15.5" customHeight="1">
      <c r="F49" s="157" t="s">
        <v>535</v>
      </c>
    </row>
    <row r="50" spans="1:16" ht="29" customHeight="1" thickBot="1">
      <c r="B50" s="75" t="s">
        <v>372</v>
      </c>
      <c r="C50" s="75"/>
    </row>
    <row r="51" spans="1:16" ht="37.25" customHeight="1">
      <c r="B51" s="113"/>
      <c r="C51" s="337" t="s">
        <v>369</v>
      </c>
      <c r="D51" s="337"/>
      <c r="E51" s="337" t="s">
        <v>370</v>
      </c>
      <c r="F51" s="338"/>
      <c r="G51" s="103"/>
      <c r="H51" s="103"/>
    </row>
    <row r="52" spans="1:16" ht="30" customHeight="1">
      <c r="B52" s="85" t="s">
        <v>223</v>
      </c>
      <c r="C52" s="274">
        <f>C44*1000/9.76*光熱費の計算!$C$74</f>
        <v>3196.7213114754099</v>
      </c>
      <c r="D52" s="274"/>
      <c r="E52" s="340">
        <f>E44*1000/9.76*光熱費の計算!$C$75</f>
        <v>6073.7704918032796</v>
      </c>
      <c r="F52" s="341"/>
    </row>
    <row r="53" spans="1:16" ht="30" customHeight="1" thickBot="1">
      <c r="B53" s="257" t="s">
        <v>375</v>
      </c>
      <c r="C53" s="258"/>
      <c r="D53" s="258"/>
      <c r="E53" s="276">
        <f>C52-E52</f>
        <v>-2877.0491803278696</v>
      </c>
      <c r="F53" s="277"/>
    </row>
    <row r="54" spans="1:16" ht="19.25" customHeight="1">
      <c r="F54" s="157" t="s">
        <v>535</v>
      </c>
    </row>
    <row r="56" spans="1:16" s="93" customFormat="1" ht="6.75" customHeight="1"/>
    <row r="57" spans="1:16" s="59" customFormat="1" ht="29.75" customHeight="1">
      <c r="A57" s="79"/>
      <c r="B57" s="78" t="s">
        <v>107</v>
      </c>
      <c r="C57" s="78"/>
      <c r="D57" s="99" t="s">
        <v>13</v>
      </c>
      <c r="E57" s="97">
        <f>地域別用途別基準値!D58</f>
        <v>27.1</v>
      </c>
      <c r="F57" s="99" t="s">
        <v>17</v>
      </c>
      <c r="G57" s="79"/>
      <c r="H57" s="79"/>
      <c r="I57" s="79"/>
      <c r="J57" s="79"/>
      <c r="K57" s="79"/>
      <c r="L57" s="79"/>
      <c r="M57" s="79"/>
      <c r="N57" s="79"/>
      <c r="O57" s="79"/>
      <c r="P57" s="79"/>
    </row>
    <row r="58" spans="1:16" s="59" customFormat="1" ht="7" customHeight="1">
      <c r="A58" s="79"/>
      <c r="B58" s="79"/>
      <c r="C58" s="78"/>
      <c r="D58" s="79"/>
      <c r="E58" s="79"/>
      <c r="F58" s="91"/>
      <c r="G58" s="92"/>
      <c r="H58" s="90"/>
      <c r="I58" s="90"/>
      <c r="J58" s="79"/>
      <c r="K58" s="79"/>
      <c r="L58" s="79"/>
      <c r="M58" s="79"/>
      <c r="N58" s="79"/>
      <c r="O58" s="79"/>
      <c r="P58" s="79"/>
    </row>
    <row r="60" spans="1:16" ht="24.75" customHeight="1">
      <c r="B60" s="80" t="s">
        <v>367</v>
      </c>
      <c r="C60" s="81"/>
      <c r="D60" s="81"/>
      <c r="E60" s="81"/>
      <c r="F60" s="81"/>
      <c r="G60" s="96"/>
      <c r="H60" s="96"/>
    </row>
    <row r="61" spans="1:16" ht="10.5" customHeight="1"/>
    <row r="62" spans="1:16" ht="26.75" customHeight="1">
      <c r="B62" s="75" t="s">
        <v>387</v>
      </c>
    </row>
    <row r="63" spans="1:16" ht="37.25" customHeight="1">
      <c r="B63" s="82"/>
      <c r="C63" s="271" t="s">
        <v>369</v>
      </c>
      <c r="D63" s="271"/>
      <c r="E63" s="271" t="s">
        <v>370</v>
      </c>
      <c r="F63" s="271"/>
    </row>
    <row r="64" spans="1:16" s="39" customFormat="1" ht="41" customHeight="1">
      <c r="B64" s="88" t="s">
        <v>106</v>
      </c>
      <c r="C64" s="339" t="s">
        <v>382</v>
      </c>
      <c r="D64" s="339"/>
      <c r="E64" s="339" t="s">
        <v>382</v>
      </c>
      <c r="F64" s="339"/>
      <c r="H64" s="39" t="s">
        <v>381</v>
      </c>
    </row>
    <row r="65" spans="2:8" s="39" customFormat="1" ht="41" customHeight="1">
      <c r="B65" s="114" t="s">
        <v>384</v>
      </c>
      <c r="C65" s="236">
        <v>750</v>
      </c>
      <c r="D65" s="110" t="s">
        <v>383</v>
      </c>
      <c r="E65" s="236">
        <v>259</v>
      </c>
      <c r="F65" s="110" t="s">
        <v>383</v>
      </c>
      <c r="H65" s="39" t="s">
        <v>382</v>
      </c>
    </row>
    <row r="66" spans="2:8" s="39" customFormat="1" ht="41" customHeight="1">
      <c r="B66" s="114" t="s">
        <v>385</v>
      </c>
      <c r="C66" s="74" t="s">
        <v>64</v>
      </c>
      <c r="D66" s="106">
        <f>IF(C64="年間電力消費量を手入力",C65*9.76/1000,計算過程!D248*計算過程!E306)</f>
        <v>8.3383484745762715</v>
      </c>
      <c r="E66" s="74" t="s">
        <v>63</v>
      </c>
      <c r="F66" s="106">
        <f>IF(E64="年間電力消費量を手入力",E65*9.76/1000,計算過程!D250*計算過程!E306)</f>
        <v>1.4121396610169492</v>
      </c>
      <c r="G66" s="76"/>
      <c r="H66" s="76"/>
    </row>
    <row r="67" spans="2:8" s="39" customFormat="1" ht="19.5" customHeight="1"/>
    <row r="68" spans="2:8" ht="26.75" customHeight="1">
      <c r="B68" s="75" t="s">
        <v>388</v>
      </c>
    </row>
    <row r="69" spans="2:8" ht="37.25" customHeight="1">
      <c r="B69" s="82"/>
      <c r="C69" s="271" t="s">
        <v>369</v>
      </c>
      <c r="D69" s="271"/>
      <c r="E69" s="271" t="s">
        <v>370</v>
      </c>
      <c r="F69" s="271"/>
    </row>
    <row r="70" spans="2:8" s="39" customFormat="1" ht="41" customHeight="1">
      <c r="B70" s="88" t="s">
        <v>106</v>
      </c>
      <c r="C70" s="339" t="s">
        <v>382</v>
      </c>
      <c r="D70" s="339"/>
      <c r="E70" s="339" t="s">
        <v>382</v>
      </c>
      <c r="F70" s="339"/>
      <c r="H70" s="39" t="s">
        <v>381</v>
      </c>
    </row>
    <row r="71" spans="2:8" s="39" customFormat="1" ht="41" customHeight="1">
      <c r="B71" s="114" t="s">
        <v>384</v>
      </c>
      <c r="C71" s="236">
        <v>560</v>
      </c>
      <c r="D71" s="110" t="s">
        <v>383</v>
      </c>
      <c r="E71" s="236">
        <v>259</v>
      </c>
      <c r="F71" s="110" t="s">
        <v>383</v>
      </c>
      <c r="H71" s="39" t="s">
        <v>382</v>
      </c>
    </row>
    <row r="72" spans="2:8" s="39" customFormat="1" ht="41" customHeight="1">
      <c r="B72" s="114" t="s">
        <v>385</v>
      </c>
      <c r="C72" s="74" t="s">
        <v>64</v>
      </c>
      <c r="D72" s="77">
        <f>IF(C70="手入力",C71*9.76/1000,計算過程!D270*計算過程!E306)</f>
        <v>5.020941016949152</v>
      </c>
      <c r="E72" s="74" t="s">
        <v>63</v>
      </c>
      <c r="F72" s="77">
        <f>IF(E70="手入力",E71*9.76/1000,計算過程!D272*計算過程!E306)</f>
        <v>2.1294169491525423</v>
      </c>
      <c r="G72" s="76"/>
      <c r="H72" s="76"/>
    </row>
    <row r="73" spans="2:8" s="39" customFormat="1" ht="20" customHeight="1"/>
    <row r="74" spans="2:8" ht="26.75" customHeight="1">
      <c r="B74" s="75" t="s">
        <v>389</v>
      </c>
    </row>
    <row r="75" spans="2:8" ht="37.25" customHeight="1">
      <c r="B75" s="82"/>
      <c r="C75" s="271" t="s">
        <v>369</v>
      </c>
      <c r="D75" s="271"/>
      <c r="E75" s="271" t="s">
        <v>370</v>
      </c>
      <c r="F75" s="271"/>
    </row>
    <row r="76" spans="2:8" s="39" customFormat="1" ht="40.5" customHeight="1">
      <c r="B76" s="88" t="s">
        <v>106</v>
      </c>
      <c r="C76" s="339" t="s">
        <v>382</v>
      </c>
      <c r="D76" s="339"/>
      <c r="E76" s="339" t="s">
        <v>382</v>
      </c>
      <c r="F76" s="339"/>
      <c r="H76" s="39" t="s">
        <v>381</v>
      </c>
    </row>
    <row r="77" spans="2:8" s="39" customFormat="1" ht="40.5" customHeight="1">
      <c r="B77" s="114" t="s">
        <v>384</v>
      </c>
      <c r="C77" s="236">
        <v>440</v>
      </c>
      <c r="D77" s="110" t="s">
        <v>383</v>
      </c>
      <c r="E77" s="236">
        <v>182</v>
      </c>
      <c r="F77" s="110" t="s">
        <v>383</v>
      </c>
      <c r="H77" s="39" t="s">
        <v>382</v>
      </c>
    </row>
    <row r="78" spans="2:8" s="39" customFormat="1" ht="40.5" customHeight="1">
      <c r="B78" s="114" t="s">
        <v>385</v>
      </c>
      <c r="C78" s="74" t="s">
        <v>67</v>
      </c>
      <c r="D78" s="116">
        <f>IF(C76="手入力",C77*9.76/1000,計算過程!D284*計算過程!E306)</f>
        <v>4.4829830508474577</v>
      </c>
      <c r="E78" s="74" t="s">
        <v>538</v>
      </c>
      <c r="F78" s="116">
        <f>IF(E76="手入力",E77*9.76/1000,計算過程!D285*計算過程!E306)</f>
        <v>2.1854542372881358</v>
      </c>
      <c r="H78" s="104" t="s">
        <v>65</v>
      </c>
    </row>
    <row r="79" spans="2:8" s="39" customFormat="1" ht="19.25" customHeight="1">
      <c r="H79" s="105" t="s">
        <v>66</v>
      </c>
    </row>
    <row r="80" spans="2:8" s="39" customFormat="1" ht="30" customHeight="1">
      <c r="B80" s="75" t="s">
        <v>390</v>
      </c>
      <c r="C80" s="345" t="s">
        <v>128</v>
      </c>
      <c r="D80" s="345"/>
      <c r="E80" s="345"/>
      <c r="F80" s="345"/>
    </row>
    <row r="81" spans="2:9" ht="37.25" customHeight="1">
      <c r="B81" s="82"/>
      <c r="C81" s="271" t="s">
        <v>369</v>
      </c>
      <c r="D81" s="271"/>
      <c r="E81" s="271" t="s">
        <v>370</v>
      </c>
      <c r="F81" s="271"/>
      <c r="H81" s="39"/>
    </row>
    <row r="82" spans="2:9" s="39" customFormat="1" ht="41" customHeight="1">
      <c r="B82" s="88" t="s">
        <v>391</v>
      </c>
      <c r="C82" s="74" t="s">
        <v>132</v>
      </c>
      <c r="D82" s="77">
        <f>計算過程!D301*計算過程!E306</f>
        <v>9.2577274576271211</v>
      </c>
      <c r="E82" s="74" t="s">
        <v>130</v>
      </c>
      <c r="F82" s="77">
        <f>計算過程!D302*計算過程!E306</f>
        <v>8.9659661016949155</v>
      </c>
      <c r="H82" s="104"/>
      <c r="I82" s="76"/>
    </row>
    <row r="83" spans="2:9" s="39" customFormat="1" ht="30" customHeight="1">
      <c r="B83" s="72"/>
      <c r="D83" s="107"/>
      <c r="F83" s="107"/>
      <c r="H83" s="105"/>
      <c r="I83" s="119"/>
    </row>
    <row r="84" spans="2:9" s="39" customFormat="1" ht="14">
      <c r="H84" s="105"/>
    </row>
    <row r="85" spans="2:9" ht="24.75" customHeight="1">
      <c r="B85" s="80" t="s">
        <v>368</v>
      </c>
      <c r="C85" s="81"/>
      <c r="D85" s="81"/>
      <c r="E85" s="81"/>
      <c r="F85" s="81"/>
      <c r="G85" s="96"/>
      <c r="H85" s="96"/>
      <c r="I85" s="98"/>
    </row>
    <row r="86" spans="2:9" s="39" customFormat="1" ht="7.5" customHeight="1"/>
    <row r="87" spans="2:9" ht="29" customHeight="1" thickBot="1">
      <c r="B87" s="75" t="s">
        <v>371</v>
      </c>
    </row>
    <row r="88" spans="2:9" ht="37.25" customHeight="1">
      <c r="B88" s="84"/>
      <c r="C88" s="278" t="s">
        <v>369</v>
      </c>
      <c r="D88" s="278"/>
      <c r="E88" s="278" t="s">
        <v>370</v>
      </c>
      <c r="F88" s="279"/>
      <c r="G88" s="103"/>
      <c r="H88" s="103"/>
    </row>
    <row r="89" spans="2:9" s="39" customFormat="1" ht="30" customHeight="1">
      <c r="B89" s="85" t="s">
        <v>102</v>
      </c>
      <c r="C89" s="328">
        <f>D66+D72+D78+D82</f>
        <v>27.1</v>
      </c>
      <c r="D89" s="328"/>
      <c r="E89" s="326">
        <f>F66+F72+F78+F82</f>
        <v>14.692976949152543</v>
      </c>
      <c r="F89" s="327"/>
    </row>
    <row r="90" spans="2:9" s="39" customFormat="1" ht="30" customHeight="1">
      <c r="B90" s="85" t="s">
        <v>100</v>
      </c>
      <c r="C90" s="328">
        <f>E57-C89</f>
        <v>0</v>
      </c>
      <c r="D90" s="328"/>
      <c r="E90" s="326">
        <f>E57-E89</f>
        <v>12.407023050847458</v>
      </c>
      <c r="F90" s="327"/>
    </row>
    <row r="91" spans="2:9" s="39" customFormat="1" ht="30" customHeight="1">
      <c r="B91" s="85" t="s">
        <v>99</v>
      </c>
      <c r="C91" s="330">
        <f>C90/E57*100</f>
        <v>0</v>
      </c>
      <c r="D91" s="330"/>
      <c r="E91" s="331">
        <f>E90/E57*100</f>
        <v>45.782372881355933</v>
      </c>
      <c r="F91" s="332"/>
    </row>
    <row r="92" spans="2:9" s="39" customFormat="1" ht="30" customHeight="1">
      <c r="B92" s="259" t="s">
        <v>373</v>
      </c>
      <c r="C92" s="260"/>
      <c r="D92" s="260"/>
      <c r="E92" s="335">
        <f>C89-E89</f>
        <v>12.407023050847458</v>
      </c>
      <c r="F92" s="336"/>
      <c r="G92" s="36"/>
    </row>
    <row r="93" spans="2:9" s="39" customFormat="1" ht="30" customHeight="1" thickBot="1">
      <c r="B93" s="257" t="s">
        <v>374</v>
      </c>
      <c r="C93" s="258"/>
      <c r="D93" s="258"/>
      <c r="E93" s="342">
        <f>E92/C89*100</f>
        <v>45.782372881355933</v>
      </c>
      <c r="F93" s="343"/>
      <c r="G93" s="36"/>
    </row>
    <row r="94" spans="2:9" ht="17.25" customHeight="1">
      <c r="F94" s="157" t="s">
        <v>535</v>
      </c>
    </row>
    <row r="95" spans="2:9" ht="29" customHeight="1" thickBot="1">
      <c r="B95" s="75" t="s">
        <v>372</v>
      </c>
      <c r="C95" s="75"/>
    </row>
    <row r="96" spans="2:9" ht="37.25" customHeight="1">
      <c r="B96" s="84"/>
      <c r="C96" s="278" t="s">
        <v>369</v>
      </c>
      <c r="D96" s="278"/>
      <c r="E96" s="278" t="s">
        <v>370</v>
      </c>
      <c r="F96" s="279"/>
      <c r="G96" s="103"/>
      <c r="H96" s="103"/>
    </row>
    <row r="97" spans="1:16" ht="30" customHeight="1">
      <c r="B97" s="85" t="s">
        <v>224</v>
      </c>
      <c r="C97" s="274">
        <f>C89*1000/9.76*光熱費の計算!D83</f>
        <v>72192.62295081967</v>
      </c>
      <c r="D97" s="274"/>
      <c r="E97" s="340">
        <f>E89*1000/9.76*光熱費の計算!E83</f>
        <v>39141.127118644064</v>
      </c>
      <c r="F97" s="341"/>
    </row>
    <row r="98" spans="1:16" ht="30" customHeight="1" thickBot="1">
      <c r="B98" s="257" t="s">
        <v>375</v>
      </c>
      <c r="C98" s="258"/>
      <c r="D98" s="258"/>
      <c r="E98" s="276">
        <f>C97-E97</f>
        <v>33051.495832175606</v>
      </c>
      <c r="F98" s="277"/>
    </row>
    <row r="99" spans="1:16" ht="21" customHeight="1">
      <c r="F99" s="157" t="s">
        <v>535</v>
      </c>
    </row>
    <row r="100" spans="1:16" ht="20.25" customHeight="1">
      <c r="F100" s="157"/>
    </row>
    <row r="101" spans="1:16" s="93" customFormat="1" ht="6.75" customHeight="1"/>
    <row r="102" spans="1:16" s="59" customFormat="1" ht="29.75" customHeight="1">
      <c r="A102" s="79"/>
      <c r="B102" s="78" t="s">
        <v>133</v>
      </c>
      <c r="C102" s="78"/>
      <c r="D102" s="99" t="s">
        <v>13</v>
      </c>
      <c r="E102" s="117">
        <f>地域別用途別基準値!D67</f>
        <v>4.5</v>
      </c>
      <c r="F102" s="99" t="s">
        <v>17</v>
      </c>
      <c r="G102" s="79"/>
      <c r="H102" s="79"/>
      <c r="I102" s="79"/>
      <c r="J102" s="79"/>
      <c r="K102" s="79"/>
      <c r="L102" s="79"/>
      <c r="M102" s="79"/>
      <c r="N102" s="79"/>
      <c r="O102" s="79"/>
      <c r="P102" s="79"/>
    </row>
    <row r="103" spans="1:16" s="59" customFormat="1" ht="7" customHeight="1">
      <c r="A103" s="79"/>
      <c r="B103" s="79"/>
      <c r="C103" s="78"/>
      <c r="D103" s="79"/>
      <c r="E103" s="79"/>
      <c r="F103" s="91"/>
      <c r="G103" s="92"/>
      <c r="H103" s="90"/>
      <c r="I103" s="90"/>
      <c r="J103" s="79"/>
      <c r="K103" s="79"/>
      <c r="L103" s="79"/>
      <c r="M103" s="79"/>
      <c r="N103" s="79"/>
      <c r="O103" s="79"/>
      <c r="P103" s="79"/>
    </row>
    <row r="105" spans="1:16" ht="24.75" customHeight="1">
      <c r="B105" s="80" t="s">
        <v>367</v>
      </c>
      <c r="C105" s="81"/>
      <c r="D105" s="81"/>
      <c r="E105" s="81"/>
      <c r="F105" s="81"/>
      <c r="G105" s="96"/>
      <c r="H105" s="96"/>
    </row>
    <row r="106" spans="1:16" s="39" customFormat="1" ht="14">
      <c r="B106" s="39" t="s">
        <v>69</v>
      </c>
    </row>
    <row r="107" spans="1:16" s="39" customFormat="1" ht="14"/>
    <row r="108" spans="1:16" ht="37.25" customHeight="1">
      <c r="B108" s="82"/>
      <c r="C108" s="271" t="s">
        <v>369</v>
      </c>
      <c r="D108" s="271"/>
      <c r="E108" s="271" t="s">
        <v>370</v>
      </c>
      <c r="F108" s="271"/>
      <c r="H108" s="39"/>
      <c r="I108" s="39" t="s">
        <v>226</v>
      </c>
    </row>
    <row r="109" spans="1:16" ht="30" customHeight="1">
      <c r="B109" s="118" t="s">
        <v>225</v>
      </c>
      <c r="C109" s="344" t="s">
        <v>539</v>
      </c>
      <c r="D109" s="344"/>
      <c r="E109" s="344" t="s">
        <v>519</v>
      </c>
      <c r="F109" s="344"/>
      <c r="I109" s="36" t="s">
        <v>227</v>
      </c>
    </row>
    <row r="110" spans="1:16">
      <c r="I110" s="36" t="s">
        <v>228</v>
      </c>
    </row>
    <row r="111" spans="1:16" ht="24.75" customHeight="1">
      <c r="B111" s="80" t="s">
        <v>368</v>
      </c>
      <c r="C111" s="81"/>
      <c r="D111" s="81"/>
      <c r="E111" s="81"/>
      <c r="F111" s="81"/>
      <c r="G111" s="96"/>
      <c r="H111" s="96"/>
      <c r="I111" s="98"/>
    </row>
    <row r="112" spans="1:16" ht="11" customHeight="1"/>
    <row r="113" spans="2:8" ht="29" customHeight="1" thickBot="1">
      <c r="B113" s="75" t="s">
        <v>372</v>
      </c>
      <c r="C113" s="75"/>
    </row>
    <row r="114" spans="2:8" ht="37.25" customHeight="1">
      <c r="B114" s="84"/>
      <c r="C114" s="278" t="s">
        <v>369</v>
      </c>
      <c r="D114" s="278"/>
      <c r="E114" s="278" t="s">
        <v>370</v>
      </c>
      <c r="F114" s="279"/>
      <c r="G114" s="103"/>
      <c r="H114" s="103"/>
    </row>
    <row r="115" spans="2:8" ht="30" customHeight="1">
      <c r="B115" s="85" t="s">
        <v>229</v>
      </c>
      <c r="C115" s="274">
        <f>IF($C$109="IHコンロ",$E$102*1000/9.76*光熱費の計算!E78,IF($C$109="都市ガスコンロ",$E$102*1000/46.046*基本情報!$G$20,IF($C$109="LPガスコンロ",$E$102*1000/100.47*基本情報!$G$21)))</f>
        <v>22394.744699910421</v>
      </c>
      <c r="D115" s="274"/>
      <c r="E115" s="340">
        <f>IF(E$109="IHコンロ",$E$102*1000/9.76*光熱費の計算!F78,IF(E$109="都市ガスコンロ",$E$102*1000/46.046*基本情報!$G$20,IF(E$109="LPガスコンロ",$E$102*1000/100.47*基本情報!$G$21)))</f>
        <v>11987.704918032787</v>
      </c>
      <c r="F115" s="341"/>
    </row>
    <row r="116" spans="2:8" ht="30" customHeight="1" thickBot="1">
      <c r="B116" s="306" t="s">
        <v>375</v>
      </c>
      <c r="C116" s="307"/>
      <c r="D116" s="308"/>
      <c r="E116" s="276">
        <f>C115-E115</f>
        <v>10407.039781877635</v>
      </c>
      <c r="F116" s="277"/>
    </row>
    <row r="117" spans="2:8" ht="21.5" customHeight="1">
      <c r="F117" s="157" t="s">
        <v>535</v>
      </c>
    </row>
  </sheetData>
  <sheetProtection password="CC59" sheet="1" formatCells="0" formatColumns="0" formatRows="0" insertColumns="0" insertRows="0" insertHyperlinks="0" deleteColumns="0" deleteRows="0" sort="0" autoFilter="0" pivotTables="0"/>
  <mergeCells count="83">
    <mergeCell ref="C96:D96"/>
    <mergeCell ref="E96:F96"/>
    <mergeCell ref="B98:D98"/>
    <mergeCell ref="C108:D108"/>
    <mergeCell ref="E108:F108"/>
    <mergeCell ref="C97:D97"/>
    <mergeCell ref="E97:F97"/>
    <mergeCell ref="E98:F98"/>
    <mergeCell ref="C70:D70"/>
    <mergeCell ref="E70:F70"/>
    <mergeCell ref="E47:F47"/>
    <mergeCell ref="E48:F48"/>
    <mergeCell ref="C64:D64"/>
    <mergeCell ref="E64:F64"/>
    <mergeCell ref="E52:F52"/>
    <mergeCell ref="C51:D51"/>
    <mergeCell ref="E53:F53"/>
    <mergeCell ref="C52:D52"/>
    <mergeCell ref="C63:D63"/>
    <mergeCell ref="E63:F63"/>
    <mergeCell ref="C69:D69"/>
    <mergeCell ref="E69:F69"/>
    <mergeCell ref="B48:D48"/>
    <mergeCell ref="B47:D47"/>
    <mergeCell ref="E92:F92"/>
    <mergeCell ref="E93:F93"/>
    <mergeCell ref="C89:D89"/>
    <mergeCell ref="E89:F89"/>
    <mergeCell ref="C90:D90"/>
    <mergeCell ref="E90:F90"/>
    <mergeCell ref="B93:D93"/>
    <mergeCell ref="B92:D92"/>
    <mergeCell ref="C76:D76"/>
    <mergeCell ref="E76:F76"/>
    <mergeCell ref="C75:D75"/>
    <mergeCell ref="E75:F75"/>
    <mergeCell ref="C91:D91"/>
    <mergeCell ref="E91:F91"/>
    <mergeCell ref="C80:F80"/>
    <mergeCell ref="C81:D81"/>
    <mergeCell ref="E81:F81"/>
    <mergeCell ref="C88:D88"/>
    <mergeCell ref="E88:F88"/>
    <mergeCell ref="E116:F116"/>
    <mergeCell ref="C109:D109"/>
    <mergeCell ref="E109:F109"/>
    <mergeCell ref="C115:D115"/>
    <mergeCell ref="E115:F115"/>
    <mergeCell ref="C114:D114"/>
    <mergeCell ref="E114:F114"/>
    <mergeCell ref="B116:D116"/>
    <mergeCell ref="C16:D16"/>
    <mergeCell ref="E16:F16"/>
    <mergeCell ref="B21:D21"/>
    <mergeCell ref="B20:D20"/>
    <mergeCell ref="C24:D24"/>
    <mergeCell ref="E24:F24"/>
    <mergeCell ref="C18:D18"/>
    <mergeCell ref="E17:F17"/>
    <mergeCell ref="E18:F18"/>
    <mergeCell ref="C17:D17"/>
    <mergeCell ref="E21:F21"/>
    <mergeCell ref="C19:D19"/>
    <mergeCell ref="C25:D25"/>
    <mergeCell ref="E25:F25"/>
    <mergeCell ref="E26:F26"/>
    <mergeCell ref="E19:F19"/>
    <mergeCell ref="E20:F20"/>
    <mergeCell ref="B26:D26"/>
    <mergeCell ref="B53:D53"/>
    <mergeCell ref="E51:F51"/>
    <mergeCell ref="C46:D46"/>
    <mergeCell ref="E46:F46"/>
    <mergeCell ref="C35:D35"/>
    <mergeCell ref="E35:F35"/>
    <mergeCell ref="C36:D36"/>
    <mergeCell ref="E36:F36"/>
    <mergeCell ref="C45:D45"/>
    <mergeCell ref="E45:F45"/>
    <mergeCell ref="C44:D44"/>
    <mergeCell ref="E44:F44"/>
    <mergeCell ref="C43:D43"/>
    <mergeCell ref="E43:F43"/>
  </mergeCells>
  <phoneticPr fontId="1"/>
  <conditionalFormatting sqref="F66">
    <cfRule type="expression" dxfId="28" priority="41">
      <formula>$E$64="年間電力消費量を手入力"</formula>
    </cfRule>
  </conditionalFormatting>
  <conditionalFormatting sqref="C82:D82">
    <cfRule type="expression" dxfId="27" priority="30">
      <formula>C$76="手入力"</formula>
    </cfRule>
  </conditionalFormatting>
  <conditionalFormatting sqref="C37:D37">
    <cfRule type="expression" dxfId="26" priority="29">
      <formula>$C$36="換気設備を選択して自動計算"</formula>
    </cfRule>
  </conditionalFormatting>
  <conditionalFormatting sqref="E37">
    <cfRule type="expression" dxfId="25" priority="28">
      <formula>$E$36="換気設備を選択して自動計算"</formula>
    </cfRule>
  </conditionalFormatting>
  <conditionalFormatting sqref="F37">
    <cfRule type="expression" dxfId="24" priority="27">
      <formula>$E$36="換気設備を選択して自動計算"</formula>
    </cfRule>
  </conditionalFormatting>
  <conditionalFormatting sqref="C38">
    <cfRule type="expression" dxfId="23" priority="26">
      <formula>$C$36="一次エネルギー消費量を手入力"</formula>
    </cfRule>
  </conditionalFormatting>
  <conditionalFormatting sqref="D38">
    <cfRule type="expression" dxfId="22" priority="25">
      <formula>$C$36="一次エネルギー消費量を手入力"</formula>
    </cfRule>
  </conditionalFormatting>
  <conditionalFormatting sqref="F38">
    <cfRule type="expression" dxfId="21" priority="24">
      <formula>$E$36="一次エネルギー消費量を手入力"</formula>
    </cfRule>
  </conditionalFormatting>
  <conditionalFormatting sqref="C65:D65">
    <cfRule type="expression" dxfId="20" priority="23">
      <formula>$C$64="選択して自動計算"</formula>
    </cfRule>
  </conditionalFormatting>
  <conditionalFormatting sqref="E65:F65">
    <cfRule type="expression" dxfId="19" priority="22">
      <formula>$E$64="選択して自動計算"</formula>
    </cfRule>
  </conditionalFormatting>
  <conditionalFormatting sqref="C66:D66">
    <cfRule type="expression" dxfId="18" priority="20">
      <formula>$C$64="年間電力消費量を手入力"</formula>
    </cfRule>
  </conditionalFormatting>
  <conditionalFormatting sqref="D71">
    <cfRule type="expression" dxfId="17" priority="19">
      <formula>$C$70="選択して自動計算"</formula>
    </cfRule>
  </conditionalFormatting>
  <conditionalFormatting sqref="C71:D71">
    <cfRule type="expression" dxfId="16" priority="17">
      <formula>$C$70="選択して自動計算"</formula>
    </cfRule>
  </conditionalFormatting>
  <conditionalFormatting sqref="E71:F71">
    <cfRule type="expression" dxfId="15" priority="16">
      <formula>$E$70="選択して自動計算"</formula>
    </cfRule>
  </conditionalFormatting>
  <conditionalFormatting sqref="C72:D72">
    <cfRule type="expression" dxfId="14" priority="15">
      <formula>$C$70="年間電力消費量を手入力"</formula>
    </cfRule>
  </conditionalFormatting>
  <conditionalFormatting sqref="F72">
    <cfRule type="expression" dxfId="13" priority="14">
      <formula>$E$70="年間電力消費量を手入力"</formula>
    </cfRule>
  </conditionalFormatting>
  <conditionalFormatting sqref="C77:D77">
    <cfRule type="expression" dxfId="12" priority="9">
      <formula>$C$76="選択して自動計算"</formula>
    </cfRule>
  </conditionalFormatting>
  <conditionalFormatting sqref="E77:F77">
    <cfRule type="expression" dxfId="11" priority="8">
      <formula>$E$76="選択して自動計算"</formula>
    </cfRule>
  </conditionalFormatting>
  <conditionalFormatting sqref="C78:D78">
    <cfRule type="expression" dxfId="10" priority="7">
      <formula>$C$76="年間電力消費量を手入力"</formula>
    </cfRule>
  </conditionalFormatting>
  <conditionalFormatting sqref="E78:F78">
    <cfRule type="expression" dxfId="9" priority="6">
      <formula>$E$76="年間電力消費量を手入力"</formula>
    </cfRule>
  </conditionalFormatting>
  <conditionalFormatting sqref="E38">
    <cfRule type="expression" dxfId="8" priority="4">
      <formula>$C$36="一次エネルギー消費量を手入力"</formula>
    </cfRule>
  </conditionalFormatting>
  <conditionalFormatting sqref="E82">
    <cfRule type="expression" dxfId="7" priority="3">
      <formula>E$76="手入力"</formula>
    </cfRule>
  </conditionalFormatting>
  <conditionalFormatting sqref="E72">
    <cfRule type="expression" dxfId="6" priority="2">
      <formula>$C$70="年間電力消費量を手入力"</formula>
    </cfRule>
  </conditionalFormatting>
  <conditionalFormatting sqref="E66">
    <cfRule type="expression" dxfId="5" priority="1">
      <formula>$C$64="年間電力消費量を手入力"</formula>
    </cfRule>
  </conditionalFormatting>
  <dataValidations count="7">
    <dataValidation type="list" allowBlank="1" showInputMessage="1" showErrorMessage="1" sqref="C36:F36">
      <formula1>$H$35:$H$36</formula1>
    </dataValidation>
    <dataValidation type="list" allowBlank="1" showInputMessage="1" showErrorMessage="1" sqref="C64:F64">
      <formula1>$H$64:$H$65</formula1>
    </dataValidation>
    <dataValidation type="list" allowBlank="1" showInputMessage="1" showErrorMessage="1" sqref="C70:F70">
      <formula1>$H$70:$H$71</formula1>
    </dataValidation>
    <dataValidation type="list" allowBlank="1" showInputMessage="1" showErrorMessage="1" sqref="C76:F76">
      <formula1>$H$76:$H$77</formula1>
    </dataValidation>
    <dataValidation type="list" allowBlank="1" showInputMessage="1" showErrorMessage="1" sqref="C78:D78">
      <formula1>$H$78:$H$79</formula1>
    </dataValidation>
    <dataValidation type="list" allowBlank="1" showInputMessage="1" showErrorMessage="1" sqref="D82 F82">
      <formula1>$H$81:$H$84</formula1>
    </dataValidation>
    <dataValidation type="list" allowBlank="1" showInputMessage="1" showErrorMessage="1" sqref="C109 E109">
      <formula1>$I$108:$I$110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8">
        <x14:dataValidation type="list" allowBlank="1" showInputMessage="1" showErrorMessage="1">
          <x14:formula1>
            <xm:f>計算過程!$A$216:$A$217</xm:f>
          </x14:formula1>
          <xm:sqref>C9 E9</xm:sqref>
        </x14:dataValidation>
        <x14:dataValidation type="list" allowBlank="1" showInputMessage="1" showErrorMessage="1">
          <x14:formula1>
            <xm:f>計算過程!$A$222:$A$226</xm:f>
          </x14:formula1>
          <xm:sqref>C10 E10</xm:sqref>
        </x14:dataValidation>
        <x14:dataValidation type="list" allowBlank="1" showInputMessage="1" showErrorMessage="1">
          <x14:formula1>
            <xm:f>計算過程!$A$231:$A$232</xm:f>
          </x14:formula1>
          <xm:sqref>C11 E11</xm:sqref>
        </x14:dataValidation>
        <x14:dataValidation type="list" allowBlank="1" showInputMessage="1" showErrorMessage="1">
          <x14:formula1>
            <xm:f>計算過程!$A$239:$A$241</xm:f>
          </x14:formula1>
          <xm:sqref>C38 E38</xm:sqref>
        </x14:dataValidation>
        <x14:dataValidation type="list" allowBlank="1" showInputMessage="1" showErrorMessage="1">
          <x14:formula1>
            <xm:f>計算過程!$A$248:$A$250</xm:f>
          </x14:formula1>
          <xm:sqref>C66 E66</xm:sqref>
        </x14:dataValidation>
        <x14:dataValidation type="list" allowBlank="1" showInputMessage="1" showErrorMessage="1">
          <x14:formula1>
            <xm:f>計算過程!$A$270:$A$272</xm:f>
          </x14:formula1>
          <xm:sqref>C72 E72</xm:sqref>
        </x14:dataValidation>
        <x14:dataValidation type="list" allowBlank="1" showInputMessage="1" showErrorMessage="1">
          <x14:formula1>
            <xm:f>計算過程!$A$284:$A$285</xm:f>
          </x14:formula1>
          <xm:sqref>E78</xm:sqref>
        </x14:dataValidation>
        <x14:dataValidation type="list" allowBlank="1" showInputMessage="1" showErrorMessage="1">
          <x14:formula1>
            <xm:f>計算過程!$A$301:$A$304</xm:f>
          </x14:formula1>
          <xm:sqref>C82 E82</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249977111117893"/>
  </sheetPr>
  <dimension ref="A1:AH168"/>
  <sheetViews>
    <sheetView showGridLines="0" topLeftCell="A4" workbookViewId="0">
      <selection activeCell="E9" sqref="E9:G9"/>
    </sheetView>
  </sheetViews>
  <sheetFormatPr baseColWidth="12" defaultColWidth="9" defaultRowHeight="17" x14ac:dyDescent="0"/>
  <cols>
    <col min="1" max="1" width="7.33203125" style="36" customWidth="1"/>
    <col min="2" max="2" width="9" style="36"/>
    <col min="3" max="3" width="13.33203125" style="36" customWidth="1"/>
    <col min="4" max="16" width="9" style="36"/>
    <col min="17" max="19" width="9" style="36" customWidth="1"/>
    <col min="20" max="21" width="0" style="36" hidden="1" customWidth="1"/>
    <col min="22" max="16384" width="9" style="36"/>
  </cols>
  <sheetData>
    <row r="1" spans="1:34" ht="15.5" customHeight="1"/>
    <row r="2" spans="1:34" s="93" customFormat="1" ht="6.75" customHeight="1"/>
    <row r="3" spans="1:34" s="59" customFormat="1" ht="29.75" customHeight="1">
      <c r="A3" s="79"/>
      <c r="B3" s="78" t="s">
        <v>337</v>
      </c>
      <c r="C3" s="78"/>
      <c r="D3" s="78"/>
      <c r="E3" s="78"/>
      <c r="F3" s="78"/>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row>
    <row r="4" spans="1:34" s="59" customFormat="1" ht="7" customHeight="1">
      <c r="A4" s="79"/>
      <c r="B4" s="79"/>
      <c r="C4" s="78"/>
      <c r="D4" s="79"/>
      <c r="E4" s="79"/>
      <c r="F4" s="91"/>
      <c r="G4" s="92"/>
      <c r="H4" s="90"/>
      <c r="I4" s="90"/>
      <c r="J4" s="79"/>
      <c r="K4" s="79"/>
      <c r="L4" s="79"/>
      <c r="M4" s="79"/>
      <c r="N4" s="79"/>
      <c r="O4" s="79"/>
      <c r="P4" s="79"/>
      <c r="Q4" s="79"/>
      <c r="R4" s="79"/>
      <c r="S4" s="79"/>
      <c r="T4" s="79"/>
      <c r="U4" s="79"/>
      <c r="V4" s="79"/>
      <c r="W4" s="79"/>
      <c r="X4" s="79"/>
      <c r="Y4" s="79"/>
      <c r="Z4" s="79"/>
      <c r="AA4" s="79"/>
      <c r="AB4" s="79"/>
      <c r="AC4" s="79"/>
      <c r="AD4" s="79"/>
      <c r="AE4" s="79"/>
      <c r="AF4" s="79"/>
      <c r="AG4" s="79"/>
      <c r="AH4" s="79"/>
    </row>
    <row r="5" spans="1:34" ht="16.5" customHeight="1">
      <c r="B5" s="39"/>
    </row>
    <row r="6" spans="1:34" ht="24.75" customHeight="1">
      <c r="B6" s="80" t="s">
        <v>393</v>
      </c>
      <c r="C6" s="81"/>
      <c r="D6" s="81"/>
      <c r="E6" s="81"/>
      <c r="F6" s="81"/>
      <c r="G6" s="81"/>
      <c r="H6" s="81"/>
      <c r="I6" s="81"/>
      <c r="J6" s="81"/>
      <c r="K6" s="81"/>
      <c r="L6" s="81"/>
      <c r="M6" s="81"/>
      <c r="N6" s="81"/>
      <c r="O6" s="81"/>
      <c r="P6" s="81"/>
      <c r="Q6" s="81"/>
      <c r="R6" s="81"/>
      <c r="S6" s="81"/>
    </row>
    <row r="7" spans="1:34" ht="14.75" customHeight="1"/>
    <row r="8" spans="1:34" ht="24.75" customHeight="1">
      <c r="B8" s="349"/>
      <c r="C8" s="349"/>
      <c r="D8" s="349"/>
      <c r="E8" s="355" t="s">
        <v>467</v>
      </c>
      <c r="F8" s="355"/>
      <c r="G8" s="355"/>
      <c r="H8" s="355"/>
      <c r="I8" s="355" t="s">
        <v>468</v>
      </c>
      <c r="J8" s="355"/>
      <c r="K8" s="355"/>
      <c r="L8" s="355"/>
      <c r="M8" s="292" t="s">
        <v>528</v>
      </c>
      <c r="N8" s="292"/>
      <c r="O8" s="292"/>
      <c r="P8" s="292"/>
      <c r="Q8" s="292"/>
      <c r="R8" s="292"/>
      <c r="S8" s="292"/>
    </row>
    <row r="9" spans="1:34" ht="36.5" customHeight="1">
      <c r="B9" s="354" t="s">
        <v>327</v>
      </c>
      <c r="C9" s="354"/>
      <c r="D9" s="354"/>
      <c r="E9" s="356">
        <v>0</v>
      </c>
      <c r="F9" s="356"/>
      <c r="G9" s="352"/>
      <c r="H9" s="237" t="s">
        <v>326</v>
      </c>
      <c r="I9" s="356">
        <v>41018</v>
      </c>
      <c r="J9" s="356"/>
      <c r="K9" s="352"/>
      <c r="L9" s="237" t="s">
        <v>326</v>
      </c>
      <c r="M9" s="351" t="s">
        <v>540</v>
      </c>
      <c r="N9" s="284"/>
      <c r="O9" s="284"/>
      <c r="P9" s="284"/>
      <c r="Q9" s="284"/>
      <c r="R9" s="284"/>
      <c r="S9" s="285"/>
    </row>
    <row r="10" spans="1:34" ht="36.5" customHeight="1">
      <c r="B10" s="354" t="s">
        <v>338</v>
      </c>
      <c r="C10" s="354"/>
      <c r="D10" s="354"/>
      <c r="E10" s="339" t="s">
        <v>492</v>
      </c>
      <c r="F10" s="339"/>
      <c r="G10" s="339"/>
      <c r="H10" s="339"/>
      <c r="I10" s="339" t="s">
        <v>492</v>
      </c>
      <c r="J10" s="339"/>
      <c r="K10" s="339"/>
      <c r="L10" s="339"/>
      <c r="M10" s="350" t="s">
        <v>541</v>
      </c>
      <c r="N10" s="329"/>
      <c r="O10" s="329"/>
      <c r="P10" s="329"/>
      <c r="Q10" s="329"/>
      <c r="R10" s="329"/>
      <c r="S10" s="329"/>
      <c r="T10" s="36" t="s">
        <v>340</v>
      </c>
    </row>
    <row r="11" spans="1:34" ht="36.5" customHeight="1">
      <c r="B11" s="354" t="s">
        <v>341</v>
      </c>
      <c r="C11" s="354"/>
      <c r="D11" s="354"/>
      <c r="E11" s="352">
        <v>24</v>
      </c>
      <c r="F11" s="353"/>
      <c r="G11" s="353"/>
      <c r="H11" s="237" t="s">
        <v>153</v>
      </c>
      <c r="I11" s="352">
        <v>24</v>
      </c>
      <c r="J11" s="353"/>
      <c r="K11" s="353"/>
      <c r="L11" s="237" t="s">
        <v>153</v>
      </c>
      <c r="M11" s="346"/>
      <c r="N11" s="347"/>
      <c r="O11" s="347"/>
      <c r="P11" s="347"/>
      <c r="Q11" s="347"/>
      <c r="R11" s="347"/>
      <c r="S11" s="348"/>
      <c r="T11" s="36" t="s">
        <v>339</v>
      </c>
    </row>
    <row r="12" spans="1:34" ht="28.25" customHeight="1"/>
    <row r="13" spans="1:34" ht="24.75" customHeight="1">
      <c r="B13" s="80" t="s">
        <v>392</v>
      </c>
      <c r="C13" s="81"/>
      <c r="D13" s="81"/>
      <c r="E13" s="81"/>
      <c r="F13" s="81"/>
      <c r="G13" s="81"/>
      <c r="H13" s="81"/>
      <c r="I13" s="81"/>
      <c r="J13" s="81"/>
      <c r="K13" s="81"/>
      <c r="L13" s="81"/>
      <c r="M13" s="81"/>
      <c r="N13" s="81"/>
      <c r="O13" s="81"/>
      <c r="P13" s="81"/>
      <c r="Q13" s="81"/>
      <c r="R13" s="81"/>
      <c r="S13" s="81"/>
    </row>
    <row r="14" spans="1:34" ht="14.75" customHeight="1"/>
    <row r="15" spans="1:34">
      <c r="B15" s="36" t="s">
        <v>328</v>
      </c>
      <c r="F15" s="120" t="s">
        <v>329</v>
      </c>
    </row>
    <row r="17" spans="2:21">
      <c r="B17" s="36" t="s">
        <v>330</v>
      </c>
    </row>
    <row r="20" spans="2:21">
      <c r="T20" s="36" t="s">
        <v>342</v>
      </c>
    </row>
    <row r="21" spans="2:21">
      <c r="T21" s="73">
        <f>IF(基本情報!F10="オール電化",基本情報!G17,基本情報!G19)</f>
        <v>26</v>
      </c>
      <c r="U21" s="36" t="s">
        <v>335</v>
      </c>
    </row>
    <row r="35" spans="2:2">
      <c r="B35" s="36" t="s">
        <v>395</v>
      </c>
    </row>
    <row r="52" spans="2:2">
      <c r="B52" s="36" t="s">
        <v>394</v>
      </c>
    </row>
    <row r="88" spans="2:2">
      <c r="B88" s="36" t="s">
        <v>331</v>
      </c>
    </row>
    <row r="116" spans="2:2">
      <c r="B116" s="36" t="s">
        <v>332</v>
      </c>
    </row>
    <row r="140" spans="2:2">
      <c r="B140" s="36" t="s">
        <v>333</v>
      </c>
    </row>
    <row r="168" spans="2:2">
      <c r="B168" s="36" t="s">
        <v>490</v>
      </c>
    </row>
  </sheetData>
  <sheetProtection password="CC59" sheet="1" formatCells="0" formatColumns="0" formatRows="0" insertColumns="0" insertRows="0" insertHyperlinks="0" deleteColumns="0" deleteRows="0" sort="0" autoFilter="0" pivotTables="0"/>
  <mergeCells count="16">
    <mergeCell ref="M11:S11"/>
    <mergeCell ref="B8:D8"/>
    <mergeCell ref="M10:S10"/>
    <mergeCell ref="M8:S8"/>
    <mergeCell ref="M9:S9"/>
    <mergeCell ref="I11:K11"/>
    <mergeCell ref="B11:D11"/>
    <mergeCell ref="B10:D10"/>
    <mergeCell ref="B9:D9"/>
    <mergeCell ref="E11:G11"/>
    <mergeCell ref="E8:H8"/>
    <mergeCell ref="I9:K9"/>
    <mergeCell ref="I8:L8"/>
    <mergeCell ref="E10:H10"/>
    <mergeCell ref="E9:G9"/>
    <mergeCell ref="I10:L10"/>
  </mergeCells>
  <phoneticPr fontId="1"/>
  <hyperlinks>
    <hyperlink ref="F15" r:id="rId1"/>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計算過程!$A$339:$A$340</xm:f>
          </x14:formula1>
          <xm:sqref>E10:L10</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249977111117893"/>
  </sheetPr>
  <dimension ref="B2:T51"/>
  <sheetViews>
    <sheetView showGridLines="0" topLeftCell="A17" workbookViewId="0">
      <selection activeCell="R33" sqref="R33"/>
    </sheetView>
  </sheetViews>
  <sheetFormatPr baseColWidth="12" defaultColWidth="9" defaultRowHeight="17" x14ac:dyDescent="0"/>
  <cols>
    <col min="1" max="1" width="3.6640625" style="36" customWidth="1"/>
    <col min="2" max="2" width="18.83203125" style="36" customWidth="1"/>
    <col min="3" max="3" width="16" style="36" customWidth="1"/>
    <col min="4" max="4" width="18" style="133" customWidth="1"/>
    <col min="5" max="5" width="10.33203125" style="36" customWidth="1"/>
    <col min="6" max="6" width="18" style="133" customWidth="1"/>
    <col min="7" max="7" width="10.33203125" style="36" customWidth="1"/>
    <col min="8" max="8" width="13.83203125" style="36" customWidth="1"/>
    <col min="9" max="9" width="9.5" style="36" customWidth="1"/>
    <col min="10" max="10" width="11.6640625" style="36" customWidth="1"/>
    <col min="11" max="11" width="9" style="36" customWidth="1"/>
    <col min="12" max="12" width="9" style="36"/>
    <col min="13" max="13" width="11.33203125" style="36" hidden="1" customWidth="1"/>
    <col min="14" max="14" width="11" style="36" hidden="1" customWidth="1"/>
    <col min="15" max="15" width="10.6640625" style="36" hidden="1" customWidth="1"/>
    <col min="16" max="16" width="11" style="36" hidden="1" customWidth="1"/>
    <col min="17" max="17" width="9" style="36" hidden="1" customWidth="1"/>
    <col min="18" max="16384" width="9" style="36"/>
  </cols>
  <sheetData>
    <row r="2" spans="2:20" s="42" customFormat="1" ht="33.5" customHeight="1">
      <c r="B2" s="43" t="s">
        <v>556</v>
      </c>
      <c r="D2" s="128"/>
      <c r="F2" s="128"/>
    </row>
    <row r="4" spans="2:20" ht="18.75" customHeight="1">
      <c r="B4" s="408" t="s">
        <v>464</v>
      </c>
      <c r="C4" s="408"/>
      <c r="D4" s="233">
        <f>都市別人数別標準値!T5/1000</f>
        <v>84.125745999999992</v>
      </c>
      <c r="E4" s="127" t="s">
        <v>17</v>
      </c>
      <c r="F4" s="134">
        <f>都市別人数別標準値!T5</f>
        <v>84125.745999999999</v>
      </c>
      <c r="G4" s="121" t="s">
        <v>326</v>
      </c>
      <c r="H4" s="121"/>
      <c r="I4" s="121"/>
      <c r="J4" s="121"/>
      <c r="K4" s="121"/>
      <c r="L4" s="121"/>
      <c r="M4" s="121"/>
    </row>
    <row r="5" spans="2:20">
      <c r="B5" s="408"/>
      <c r="C5" s="408"/>
      <c r="D5" s="234">
        <f>都市別人数別標準値!AI5</f>
        <v>6456.45</v>
      </c>
      <c r="E5" s="126" t="s">
        <v>322</v>
      </c>
      <c r="G5" s="121"/>
      <c r="H5" s="121"/>
      <c r="I5" s="121"/>
      <c r="J5" s="121"/>
      <c r="K5" s="121"/>
      <c r="L5" s="121"/>
      <c r="M5" s="121"/>
    </row>
    <row r="7" spans="2:20" ht="24.75" customHeight="1">
      <c r="B7" s="60" t="s">
        <v>546</v>
      </c>
      <c r="C7" s="58"/>
      <c r="D7" s="58"/>
      <c r="E7" s="58"/>
      <c r="F7" s="58"/>
      <c r="G7" s="58"/>
      <c r="H7" s="58"/>
      <c r="I7" s="58"/>
      <c r="J7" s="58"/>
      <c r="K7" s="58"/>
      <c r="L7" s="58"/>
      <c r="M7" s="58"/>
      <c r="N7" s="58"/>
      <c r="O7" s="58"/>
      <c r="P7" s="58"/>
      <c r="Q7" s="58"/>
      <c r="R7" s="58"/>
      <c r="S7" s="58"/>
      <c r="T7" s="58"/>
    </row>
    <row r="8" spans="2:20" ht="8.75" customHeight="1" thickBot="1">
      <c r="B8" s="75"/>
    </row>
    <row r="9" spans="2:20" ht="19.5" customHeight="1">
      <c r="B9" s="370" t="s">
        <v>396</v>
      </c>
      <c r="C9" s="371"/>
      <c r="D9" s="368" t="s">
        <v>369</v>
      </c>
      <c r="E9" s="364"/>
      <c r="F9" s="364" t="s">
        <v>370</v>
      </c>
      <c r="G9" s="365"/>
      <c r="H9" s="376" t="s">
        <v>555</v>
      </c>
      <c r="I9" s="377"/>
      <c r="J9" s="377"/>
      <c r="K9" s="378"/>
      <c r="L9" s="420" t="s">
        <v>528</v>
      </c>
      <c r="M9" s="421"/>
      <c r="N9" s="421"/>
      <c r="O9" s="421"/>
      <c r="P9" s="421"/>
      <c r="Q9" s="421"/>
      <c r="R9" s="421"/>
      <c r="S9" s="421"/>
      <c r="T9" s="422"/>
    </row>
    <row r="10" spans="2:20" ht="19.5" customHeight="1" thickBot="1">
      <c r="B10" s="372"/>
      <c r="C10" s="373"/>
      <c r="D10" s="369"/>
      <c r="E10" s="366"/>
      <c r="F10" s="366"/>
      <c r="G10" s="367"/>
      <c r="H10" s="379" t="s">
        <v>554</v>
      </c>
      <c r="I10" s="380"/>
      <c r="J10" s="374" t="s">
        <v>397</v>
      </c>
      <c r="K10" s="375"/>
      <c r="L10" s="423"/>
      <c r="M10" s="424"/>
      <c r="N10" s="424"/>
      <c r="O10" s="424"/>
      <c r="P10" s="424"/>
      <c r="Q10" s="424"/>
      <c r="R10" s="424"/>
      <c r="S10" s="424"/>
      <c r="T10" s="425"/>
    </row>
    <row r="11" spans="2:20" ht="20" customHeight="1">
      <c r="B11" s="411" t="s">
        <v>2</v>
      </c>
      <c r="C11" s="412"/>
      <c r="D11" s="173">
        <f>暖房!F19</f>
        <v>18.799999999999997</v>
      </c>
      <c r="E11" s="125" t="s">
        <v>17</v>
      </c>
      <c r="F11" s="129">
        <f>暖房!I19</f>
        <v>3.2873416800000008</v>
      </c>
      <c r="G11" s="174" t="s">
        <v>17</v>
      </c>
      <c r="H11" s="360">
        <f>D11-F11</f>
        <v>15.512658319999996</v>
      </c>
      <c r="I11" s="359" t="s">
        <v>17</v>
      </c>
      <c r="J11" s="395">
        <f>F11/D11*100</f>
        <v>17.485860000000006</v>
      </c>
      <c r="K11" s="419" t="s">
        <v>83</v>
      </c>
      <c r="L11" s="413" t="s">
        <v>553</v>
      </c>
      <c r="M11" s="414"/>
      <c r="N11" s="414"/>
      <c r="O11" s="414"/>
      <c r="P11" s="414"/>
      <c r="Q11" s="414"/>
      <c r="R11" s="414"/>
      <c r="S11" s="414"/>
      <c r="T11" s="415"/>
    </row>
    <row r="12" spans="2:20">
      <c r="B12" s="409"/>
      <c r="C12" s="410"/>
      <c r="D12" s="175">
        <f>光熱費の計算!T13</f>
        <v>1926.2295081967209</v>
      </c>
      <c r="E12" s="126" t="s">
        <v>322</v>
      </c>
      <c r="F12" s="130">
        <f>光熱費の計算!T33</f>
        <v>336.81779508196735</v>
      </c>
      <c r="G12" s="176" t="s">
        <v>322</v>
      </c>
      <c r="H12" s="361"/>
      <c r="I12" s="358"/>
      <c r="J12" s="396"/>
      <c r="K12" s="401"/>
      <c r="L12" s="416"/>
      <c r="M12" s="417"/>
      <c r="N12" s="417"/>
      <c r="O12" s="417"/>
      <c r="P12" s="417"/>
      <c r="Q12" s="417"/>
      <c r="R12" s="417"/>
      <c r="S12" s="417"/>
      <c r="T12" s="418"/>
    </row>
    <row r="13" spans="2:20" ht="20" customHeight="1">
      <c r="B13" s="409" t="s">
        <v>3</v>
      </c>
      <c r="C13" s="410"/>
      <c r="D13" s="177">
        <f>冷房!E16</f>
        <v>3.7439999999999998</v>
      </c>
      <c r="E13" s="127" t="s">
        <v>17</v>
      </c>
      <c r="F13" s="131">
        <f>冷房!H16</f>
        <v>0.59578837500000004</v>
      </c>
      <c r="G13" s="178" t="s">
        <v>17</v>
      </c>
      <c r="H13" s="362">
        <f t="shared" ref="H13:H26" si="0">D13-F13</f>
        <v>3.1482116249999996</v>
      </c>
      <c r="I13" s="357" t="s">
        <v>17</v>
      </c>
      <c r="J13" s="397">
        <f t="shared" ref="J13:J27" si="1">F13/D13*100</f>
        <v>15.913151041666667</v>
      </c>
      <c r="K13" s="400" t="s">
        <v>83</v>
      </c>
      <c r="L13" s="402"/>
      <c r="M13" s="403"/>
      <c r="N13" s="403"/>
      <c r="O13" s="403"/>
      <c r="P13" s="403"/>
      <c r="Q13" s="403"/>
      <c r="R13" s="403"/>
      <c r="S13" s="403"/>
      <c r="T13" s="404"/>
    </row>
    <row r="14" spans="2:20">
      <c r="B14" s="409"/>
      <c r="C14" s="410"/>
      <c r="D14" s="175">
        <f>冷房!C22*1000/9.76</f>
        <v>383.60655737704917</v>
      </c>
      <c r="E14" s="126" t="s">
        <v>322</v>
      </c>
      <c r="F14" s="130">
        <f>冷房!F22*1000/9.76</f>
        <v>61.043890881147554</v>
      </c>
      <c r="G14" s="176" t="s">
        <v>322</v>
      </c>
      <c r="H14" s="361"/>
      <c r="I14" s="358"/>
      <c r="J14" s="399"/>
      <c r="K14" s="401"/>
      <c r="L14" s="402"/>
      <c r="M14" s="403"/>
      <c r="N14" s="403"/>
      <c r="O14" s="403"/>
      <c r="P14" s="403"/>
      <c r="Q14" s="403"/>
      <c r="R14" s="403"/>
      <c r="S14" s="403"/>
      <c r="T14" s="404"/>
    </row>
    <row r="15" spans="2:20" ht="20" customHeight="1">
      <c r="B15" s="409" t="s">
        <v>4</v>
      </c>
      <c r="C15" s="410"/>
      <c r="D15" s="177">
        <f>給湯!D15</f>
        <v>59.136000000000003</v>
      </c>
      <c r="E15" s="127" t="s">
        <v>17</v>
      </c>
      <c r="F15" s="131">
        <f>給湯!F15</f>
        <v>8.3004490800000017</v>
      </c>
      <c r="G15" s="178" t="s">
        <v>17</v>
      </c>
      <c r="H15" s="362">
        <f t="shared" si="0"/>
        <v>50.835550920000003</v>
      </c>
      <c r="I15" s="357" t="s">
        <v>17</v>
      </c>
      <c r="J15" s="397">
        <f t="shared" si="1"/>
        <v>14.036203125000002</v>
      </c>
      <c r="K15" s="400" t="s">
        <v>83</v>
      </c>
      <c r="L15" s="416" t="s">
        <v>542</v>
      </c>
      <c r="M15" s="417"/>
      <c r="N15" s="417"/>
      <c r="O15" s="417"/>
      <c r="P15" s="417"/>
      <c r="Q15" s="417"/>
      <c r="R15" s="417"/>
      <c r="S15" s="417"/>
      <c r="T15" s="418"/>
    </row>
    <row r="16" spans="2:20">
      <c r="B16" s="409"/>
      <c r="C16" s="410"/>
      <c r="D16" s="175">
        <f>光熱費の計算!O54</f>
        <v>6059.0163934426228</v>
      </c>
      <c r="E16" s="126" t="s">
        <v>322</v>
      </c>
      <c r="F16" s="130">
        <f>光熱費の計算!Q54</f>
        <v>0</v>
      </c>
      <c r="G16" s="176" t="s">
        <v>322</v>
      </c>
      <c r="H16" s="361"/>
      <c r="I16" s="358"/>
      <c r="J16" s="399"/>
      <c r="K16" s="401"/>
      <c r="L16" s="416"/>
      <c r="M16" s="417"/>
      <c r="N16" s="417"/>
      <c r="O16" s="417"/>
      <c r="P16" s="417"/>
      <c r="Q16" s="417"/>
      <c r="R16" s="417"/>
      <c r="S16" s="417"/>
      <c r="T16" s="418"/>
    </row>
    <row r="17" spans="2:20" ht="20" customHeight="1">
      <c r="B17" s="409" t="s">
        <v>5</v>
      </c>
      <c r="C17" s="410"/>
      <c r="D17" s="177">
        <f>その他!D11</f>
        <v>8.1999999999999993</v>
      </c>
      <c r="E17" s="127" t="s">
        <v>17</v>
      </c>
      <c r="F17" s="131">
        <f>その他!F11</f>
        <v>4.1658623999999991</v>
      </c>
      <c r="G17" s="178" t="s">
        <v>17</v>
      </c>
      <c r="H17" s="362">
        <f t="shared" si="0"/>
        <v>4.0341376000000002</v>
      </c>
      <c r="I17" s="357" t="s">
        <v>17</v>
      </c>
      <c r="J17" s="397">
        <f t="shared" si="1"/>
        <v>50.80319999999999</v>
      </c>
      <c r="K17" s="400" t="s">
        <v>83</v>
      </c>
      <c r="L17" s="402"/>
      <c r="M17" s="403"/>
      <c r="N17" s="403"/>
      <c r="O17" s="403"/>
      <c r="P17" s="403"/>
      <c r="Q17" s="403"/>
      <c r="R17" s="403"/>
      <c r="S17" s="403"/>
      <c r="T17" s="404"/>
    </row>
    <row r="18" spans="2:20">
      <c r="B18" s="409"/>
      <c r="C18" s="410"/>
      <c r="D18" s="175">
        <f>その他!C17*1000/9.76</f>
        <v>840.1639344262295</v>
      </c>
      <c r="E18" s="126" t="s">
        <v>322</v>
      </c>
      <c r="F18" s="130">
        <f>その他!E17*1000/9.76</f>
        <v>426.83016393442614</v>
      </c>
      <c r="G18" s="176" t="s">
        <v>322</v>
      </c>
      <c r="H18" s="361"/>
      <c r="I18" s="358"/>
      <c r="J18" s="399"/>
      <c r="K18" s="401"/>
      <c r="L18" s="402"/>
      <c r="M18" s="403"/>
      <c r="N18" s="403"/>
      <c r="O18" s="403"/>
      <c r="P18" s="403"/>
      <c r="Q18" s="403"/>
      <c r="R18" s="403"/>
      <c r="S18" s="403"/>
      <c r="T18" s="404"/>
    </row>
    <row r="19" spans="2:20" ht="20" customHeight="1">
      <c r="B19" s="409" t="s">
        <v>6</v>
      </c>
      <c r="C19" s="410"/>
      <c r="D19" s="177">
        <f>その他!D38</f>
        <v>1.2</v>
      </c>
      <c r="E19" s="127" t="s">
        <v>17</v>
      </c>
      <c r="F19" s="131">
        <f>その他!F38</f>
        <v>2.2799999999999998</v>
      </c>
      <c r="G19" s="178" t="s">
        <v>17</v>
      </c>
      <c r="H19" s="362">
        <f t="shared" si="0"/>
        <v>-1.0799999999999998</v>
      </c>
      <c r="I19" s="357" t="s">
        <v>17</v>
      </c>
      <c r="J19" s="397">
        <f t="shared" si="1"/>
        <v>190</v>
      </c>
      <c r="K19" s="400" t="s">
        <v>83</v>
      </c>
      <c r="L19" s="402"/>
      <c r="M19" s="403"/>
      <c r="N19" s="403"/>
      <c r="O19" s="403"/>
      <c r="P19" s="403"/>
      <c r="Q19" s="403"/>
      <c r="R19" s="403"/>
      <c r="S19" s="403"/>
      <c r="T19" s="404"/>
    </row>
    <row r="20" spans="2:20">
      <c r="B20" s="409"/>
      <c r="C20" s="410"/>
      <c r="D20" s="175">
        <f>その他!C44*1000/9.76</f>
        <v>122.95081967213115</v>
      </c>
      <c r="E20" s="126" t="s">
        <v>322</v>
      </c>
      <c r="F20" s="130">
        <f>その他!E44*1000/9.76</f>
        <v>233.6065573770492</v>
      </c>
      <c r="G20" s="176" t="s">
        <v>322</v>
      </c>
      <c r="H20" s="361"/>
      <c r="I20" s="358"/>
      <c r="J20" s="399"/>
      <c r="K20" s="401"/>
      <c r="L20" s="402"/>
      <c r="M20" s="403"/>
      <c r="N20" s="403"/>
      <c r="O20" s="403"/>
      <c r="P20" s="403"/>
      <c r="Q20" s="403"/>
      <c r="R20" s="403"/>
      <c r="S20" s="403"/>
      <c r="T20" s="404"/>
    </row>
    <row r="21" spans="2:20" ht="20" customHeight="1">
      <c r="B21" s="409" t="s">
        <v>7</v>
      </c>
      <c r="C21" s="410"/>
      <c r="D21" s="177">
        <f>その他!C89</f>
        <v>27.1</v>
      </c>
      <c r="E21" s="127" t="s">
        <v>17</v>
      </c>
      <c r="F21" s="131">
        <f>その他!E89</f>
        <v>14.692976949152543</v>
      </c>
      <c r="G21" s="178" t="s">
        <v>17</v>
      </c>
      <c r="H21" s="362">
        <f t="shared" si="0"/>
        <v>12.407023050847458</v>
      </c>
      <c r="I21" s="357" t="s">
        <v>17</v>
      </c>
      <c r="J21" s="397">
        <f t="shared" si="1"/>
        <v>54.21762711864406</v>
      </c>
      <c r="K21" s="400" t="s">
        <v>83</v>
      </c>
      <c r="L21" s="402"/>
      <c r="M21" s="403"/>
      <c r="N21" s="403"/>
      <c r="O21" s="403"/>
      <c r="P21" s="403"/>
      <c r="Q21" s="403"/>
      <c r="R21" s="403"/>
      <c r="S21" s="403"/>
      <c r="T21" s="404"/>
    </row>
    <row r="22" spans="2:20">
      <c r="B22" s="409"/>
      <c r="C22" s="410"/>
      <c r="D22" s="175">
        <f>その他!C89*1000/9.76</f>
        <v>2776.6393442622953</v>
      </c>
      <c r="E22" s="126" t="s">
        <v>322</v>
      </c>
      <c r="F22" s="130">
        <f>その他!E89*1000/9.76</f>
        <v>1505.4279661016949</v>
      </c>
      <c r="G22" s="176" t="s">
        <v>322</v>
      </c>
      <c r="H22" s="361"/>
      <c r="I22" s="358"/>
      <c r="J22" s="399"/>
      <c r="K22" s="401"/>
      <c r="L22" s="402"/>
      <c r="M22" s="403"/>
      <c r="N22" s="403"/>
      <c r="O22" s="403"/>
      <c r="P22" s="403"/>
      <c r="Q22" s="403"/>
      <c r="R22" s="403"/>
      <c r="S22" s="403"/>
      <c r="T22" s="404"/>
    </row>
    <row r="23" spans="2:20" ht="20" customHeight="1">
      <c r="B23" s="409" t="s">
        <v>8</v>
      </c>
      <c r="C23" s="410"/>
      <c r="D23" s="177">
        <f>その他!E102</f>
        <v>4.5</v>
      </c>
      <c r="E23" s="127" t="s">
        <v>17</v>
      </c>
      <c r="F23" s="131">
        <f>その他!E102</f>
        <v>4.5</v>
      </c>
      <c r="G23" s="178" t="s">
        <v>17</v>
      </c>
      <c r="H23" s="362">
        <f t="shared" si="0"/>
        <v>0</v>
      </c>
      <c r="I23" s="357" t="s">
        <v>17</v>
      </c>
      <c r="J23" s="397">
        <f t="shared" si="1"/>
        <v>100</v>
      </c>
      <c r="K23" s="400" t="s">
        <v>83</v>
      </c>
      <c r="L23" s="402"/>
      <c r="M23" s="403"/>
      <c r="N23" s="403"/>
      <c r="O23" s="403"/>
      <c r="P23" s="403"/>
      <c r="Q23" s="403"/>
      <c r="R23" s="403"/>
      <c r="S23" s="403"/>
      <c r="T23" s="404"/>
    </row>
    <row r="24" spans="2:20" ht="18" thickBot="1">
      <c r="B24" s="429"/>
      <c r="C24" s="430"/>
      <c r="D24" s="179">
        <f>光熱費の計算!H79</f>
        <v>0</v>
      </c>
      <c r="E24" s="159" t="s">
        <v>322</v>
      </c>
      <c r="F24" s="158">
        <f>光熱費の計算!J79</f>
        <v>461.06557377049182</v>
      </c>
      <c r="G24" s="180" t="s">
        <v>322</v>
      </c>
      <c r="H24" s="363"/>
      <c r="I24" s="358"/>
      <c r="J24" s="398"/>
      <c r="K24" s="426"/>
      <c r="L24" s="405"/>
      <c r="M24" s="406"/>
      <c r="N24" s="406"/>
      <c r="O24" s="406"/>
      <c r="P24" s="406"/>
      <c r="Q24" s="406"/>
      <c r="R24" s="406"/>
      <c r="S24" s="406"/>
      <c r="T24" s="407"/>
    </row>
    <row r="25" spans="2:20" ht="22" customHeight="1">
      <c r="B25" s="433" t="s">
        <v>470</v>
      </c>
      <c r="C25" s="434"/>
      <c r="D25" s="181">
        <f>D11+D13+D15+D17+D19+D21+D23</f>
        <v>122.68</v>
      </c>
      <c r="E25" s="185" t="s">
        <v>17</v>
      </c>
      <c r="F25" s="160">
        <f>F11+F13+F15+F17+F19+F21+F23</f>
        <v>37.822418484152543</v>
      </c>
      <c r="G25" s="186" t="s">
        <v>17</v>
      </c>
      <c r="H25" s="171">
        <f t="shared" si="0"/>
        <v>84.857581515847471</v>
      </c>
      <c r="I25" s="230" t="s">
        <v>17</v>
      </c>
      <c r="J25" s="161">
        <f t="shared" si="1"/>
        <v>30.830142227056196</v>
      </c>
      <c r="K25" s="232" t="s">
        <v>83</v>
      </c>
      <c r="L25" s="213"/>
      <c r="M25" s="214"/>
      <c r="N25" s="214"/>
      <c r="O25" s="214"/>
      <c r="P25" s="214"/>
      <c r="Q25" s="214"/>
      <c r="R25" s="214"/>
      <c r="S25" s="214"/>
      <c r="T25" s="215"/>
    </row>
    <row r="26" spans="2:20" ht="22" customHeight="1">
      <c r="B26" s="435" t="s">
        <v>469</v>
      </c>
      <c r="C26" s="436"/>
      <c r="D26" s="224">
        <f>D12+D14+D16+D18+D20+D22+D24</f>
        <v>12108.606557377048</v>
      </c>
      <c r="E26" s="126" t="s">
        <v>322</v>
      </c>
      <c r="F26" s="225">
        <f>F12+F14+F16+F18+F20+F22+F24</f>
        <v>3024.7919471467771</v>
      </c>
      <c r="G26" s="176" t="s">
        <v>322</v>
      </c>
      <c r="H26" s="172">
        <f t="shared" si="0"/>
        <v>9083.8146102302708</v>
      </c>
      <c r="I26" s="219" t="s">
        <v>322</v>
      </c>
      <c r="J26" s="226">
        <f t="shared" si="1"/>
        <v>24.980512272933279</v>
      </c>
      <c r="K26" s="223" t="s">
        <v>83</v>
      </c>
      <c r="L26" s="216"/>
      <c r="M26" s="217"/>
      <c r="N26" s="217"/>
      <c r="O26" s="217"/>
      <c r="P26" s="217"/>
      <c r="Q26" s="217"/>
      <c r="R26" s="217"/>
      <c r="S26" s="217"/>
      <c r="T26" s="218"/>
    </row>
    <row r="27" spans="2:20" ht="22" customHeight="1" thickBot="1">
      <c r="B27" s="427" t="s">
        <v>471</v>
      </c>
      <c r="C27" s="428"/>
      <c r="D27" s="227">
        <f>ROUND(N27,-2)</f>
        <v>367300</v>
      </c>
      <c r="E27" s="220" t="s">
        <v>259</v>
      </c>
      <c r="F27" s="228">
        <f>ROUND(P27,-2)</f>
        <v>131700</v>
      </c>
      <c r="G27" s="221" t="s">
        <v>259</v>
      </c>
      <c r="H27" s="229">
        <f t="shared" ref="H27" si="2">D27-F27</f>
        <v>235600</v>
      </c>
      <c r="I27" s="231" t="s">
        <v>259</v>
      </c>
      <c r="J27" s="162">
        <f t="shared" si="1"/>
        <v>35.85624829839368</v>
      </c>
      <c r="K27" s="222" t="s">
        <v>83</v>
      </c>
      <c r="L27" s="182"/>
      <c r="M27" s="163"/>
      <c r="N27" s="163">
        <f>暖房!D33+冷房!C30+給湯!C29+その他!C25+その他!C52+その他!C97+その他!C115+基本情報!D15</f>
        <v>367285.72830646776</v>
      </c>
      <c r="O27" s="163"/>
      <c r="P27" s="163">
        <f>暖房!G33+冷房!F30+給湯!E29+その他!E25+その他!E52+その他!E97+その他!E115+基本情報!F15</f>
        <v>131706.32054804673</v>
      </c>
      <c r="Q27" s="163"/>
      <c r="R27" s="163"/>
      <c r="S27" s="163"/>
      <c r="T27" s="164"/>
    </row>
    <row r="28" spans="2:20" ht="26" customHeight="1"/>
    <row r="29" spans="2:20" ht="24.75" customHeight="1">
      <c r="B29" s="60" t="s">
        <v>547</v>
      </c>
      <c r="C29" s="58"/>
      <c r="D29" s="58"/>
      <c r="E29" s="58"/>
      <c r="F29" s="58"/>
      <c r="G29" s="58"/>
      <c r="H29" s="58"/>
      <c r="I29" s="58"/>
      <c r="J29" s="58"/>
      <c r="K29" s="58"/>
      <c r="L29" s="58"/>
      <c r="M29" s="58"/>
      <c r="N29" s="58"/>
      <c r="O29" s="58"/>
      <c r="P29" s="58"/>
      <c r="Q29" s="58"/>
      <c r="R29" s="58"/>
      <c r="S29" s="58"/>
      <c r="T29" s="58"/>
    </row>
    <row r="30" spans="2:20" ht="6.75" customHeight="1">
      <c r="B30" s="195"/>
      <c r="D30" s="36"/>
      <c r="F30" s="36"/>
    </row>
    <row r="31" spans="2:20" ht="20" customHeight="1" thickBot="1">
      <c r="B31" s="75" t="s">
        <v>551</v>
      </c>
    </row>
    <row r="32" spans="2:20" ht="24.75" customHeight="1" thickBot="1">
      <c r="B32" s="393"/>
      <c r="C32" s="394"/>
      <c r="D32" s="390" t="s">
        <v>369</v>
      </c>
      <c r="E32" s="391"/>
      <c r="F32" s="391" t="s">
        <v>370</v>
      </c>
      <c r="G32" s="392"/>
      <c r="H32" s="384" t="s">
        <v>543</v>
      </c>
      <c r="I32" s="385"/>
    </row>
    <row r="33" spans="2:19" ht="21" customHeight="1">
      <c r="B33" s="433" t="s">
        <v>324</v>
      </c>
      <c r="C33" s="445"/>
      <c r="D33" s="183">
        <f>D25/$D$4*100</f>
        <v>145.82931603364329</v>
      </c>
      <c r="E33" s="168" t="s">
        <v>83</v>
      </c>
      <c r="F33" s="167">
        <f>F25/$D$4*100</f>
        <v>44.959385541915488</v>
      </c>
      <c r="G33" s="169" t="s">
        <v>83</v>
      </c>
      <c r="H33" s="386" t="str">
        <f>IF(F33&lt;50,"達成！",IF(F33&lt;70,"あと一歩！","　"))</f>
        <v>達成！</v>
      </c>
      <c r="I33" s="387"/>
      <c r="J33" s="137"/>
      <c r="K33" s="137"/>
      <c r="L33" s="137"/>
      <c r="M33" s="137"/>
      <c r="N33" s="137"/>
      <c r="O33" s="137"/>
      <c r="P33" s="137"/>
      <c r="Q33" s="137"/>
      <c r="R33" s="137"/>
      <c r="S33" s="137"/>
    </row>
    <row r="34" spans="2:19" ht="21" customHeight="1" thickBot="1">
      <c r="B34" s="443" t="s">
        <v>325</v>
      </c>
      <c r="C34" s="444"/>
      <c r="D34" s="184">
        <f>D26/$D$5*100</f>
        <v>187.54279143146852</v>
      </c>
      <c r="E34" s="166" t="s">
        <v>83</v>
      </c>
      <c r="F34" s="165">
        <f>F26/$D$5*100</f>
        <v>46.849150030539647</v>
      </c>
      <c r="G34" s="170" t="s">
        <v>83</v>
      </c>
      <c r="H34" s="388" t="str">
        <f>IF(F34&lt;50,"達成！",IF(F34&lt;70,"あと一歩！","　"))</f>
        <v>達成！</v>
      </c>
      <c r="I34" s="389"/>
      <c r="J34" s="137"/>
      <c r="K34" s="137"/>
      <c r="L34" s="137"/>
      <c r="M34" s="137"/>
      <c r="N34" s="137"/>
      <c r="O34" s="137"/>
      <c r="P34" s="137"/>
      <c r="Q34" s="137"/>
      <c r="R34" s="137"/>
      <c r="S34" s="137"/>
    </row>
    <row r="35" spans="2:19" ht="16.5" customHeight="1"/>
    <row r="36" spans="2:19" ht="21.75" customHeight="1" thickBot="1">
      <c r="B36" s="75" t="s">
        <v>548</v>
      </c>
    </row>
    <row r="37" spans="2:19" ht="18.75" customHeight="1">
      <c r="B37" s="439" t="s">
        <v>336</v>
      </c>
      <c r="C37" s="440"/>
      <c r="D37" s="187">
        <f>発電!E9/1000</f>
        <v>0</v>
      </c>
      <c r="E37" s="191" t="s">
        <v>17</v>
      </c>
      <c r="F37" s="188">
        <f>発電!I9/1000</f>
        <v>41.018000000000001</v>
      </c>
      <c r="G37" s="206" t="s">
        <v>334</v>
      </c>
      <c r="H37" s="370" t="s">
        <v>260</v>
      </c>
      <c r="I37" s="382"/>
      <c r="J37" s="137"/>
      <c r="K37" s="137"/>
      <c r="L37" s="137"/>
      <c r="M37" s="137"/>
    </row>
    <row r="38" spans="2:19" ht="18.75" customHeight="1" thickBot="1">
      <c r="B38" s="441"/>
      <c r="C38" s="442"/>
      <c r="D38" s="189">
        <f>ROUND(N38,1)</f>
        <v>0</v>
      </c>
      <c r="E38" s="192" t="s">
        <v>322</v>
      </c>
      <c r="F38" s="190">
        <f>ROUND(O38,1)</f>
        <v>4202.7</v>
      </c>
      <c r="G38" s="207" t="s">
        <v>322</v>
      </c>
      <c r="H38" s="372"/>
      <c r="I38" s="383"/>
      <c r="J38" s="137"/>
      <c r="K38" s="137"/>
      <c r="L38" s="137"/>
      <c r="M38" s="137"/>
      <c r="N38" s="36">
        <f>D37*1000/9.76</f>
        <v>0</v>
      </c>
      <c r="O38" s="36">
        <f>F37*1000/9.76</f>
        <v>4202.6639344262294</v>
      </c>
    </row>
    <row r="39" spans="2:19" ht="21.75" customHeight="1">
      <c r="B39" s="437" t="s">
        <v>544</v>
      </c>
      <c r="C39" s="438"/>
      <c r="D39" s="200">
        <f>D25-D37</f>
        <v>122.68</v>
      </c>
      <c r="E39" s="205" t="s">
        <v>17</v>
      </c>
      <c r="F39" s="202">
        <f>F25-F37</f>
        <v>-3.1955815158474579</v>
      </c>
      <c r="G39" s="208" t="s">
        <v>17</v>
      </c>
      <c r="H39" s="203">
        <f>D39-F39</f>
        <v>125.87558151584747</v>
      </c>
      <c r="I39" s="210" t="s">
        <v>17</v>
      </c>
    </row>
    <row r="40" spans="2:19" ht="21.75" customHeight="1" thickBot="1">
      <c r="B40" s="431" t="s">
        <v>545</v>
      </c>
      <c r="C40" s="432"/>
      <c r="D40" s="201">
        <f>D26-D38</f>
        <v>12108.606557377048</v>
      </c>
      <c r="E40" s="193" t="s">
        <v>322</v>
      </c>
      <c r="F40" s="158">
        <f>F26-F38</f>
        <v>-1177.9080528532227</v>
      </c>
      <c r="G40" s="209" t="s">
        <v>322</v>
      </c>
      <c r="H40" s="204">
        <f>D40-F40</f>
        <v>13286.514610230272</v>
      </c>
      <c r="I40" s="194" t="s">
        <v>322</v>
      </c>
    </row>
    <row r="42" spans="2:19" ht="20" customHeight="1" thickBot="1">
      <c r="B42" s="75" t="s">
        <v>552</v>
      </c>
    </row>
    <row r="43" spans="2:19" ht="24.75" customHeight="1" thickBot="1">
      <c r="B43" s="393"/>
      <c r="C43" s="394"/>
      <c r="D43" s="390" t="s">
        <v>369</v>
      </c>
      <c r="E43" s="391"/>
      <c r="F43" s="391" t="s">
        <v>370</v>
      </c>
      <c r="G43" s="392"/>
      <c r="H43" s="384" t="s">
        <v>543</v>
      </c>
      <c r="I43" s="385"/>
    </row>
    <row r="44" spans="2:19" ht="21" customHeight="1">
      <c r="B44" s="433" t="s">
        <v>10</v>
      </c>
      <c r="C44" s="445"/>
      <c r="D44" s="198">
        <f>D39/$D$4*100</f>
        <v>145.82931603364329</v>
      </c>
      <c r="E44" s="199" t="s">
        <v>83</v>
      </c>
      <c r="F44" s="198">
        <f>F39/$D$4*100</f>
        <v>-3.7985773295222347</v>
      </c>
      <c r="G44" s="199" t="s">
        <v>83</v>
      </c>
      <c r="H44" s="386" t="str">
        <f>IF(F44&lt;50,"達成！",IF(F44&lt;70,"あと一歩！","　"))</f>
        <v>達成！</v>
      </c>
      <c r="I44" s="387"/>
    </row>
    <row r="45" spans="2:19" ht="21" customHeight="1" thickBot="1">
      <c r="B45" s="443" t="s">
        <v>184</v>
      </c>
      <c r="C45" s="444"/>
      <c r="D45" s="165">
        <f>D40/$D$5*100</f>
        <v>187.54279143146852</v>
      </c>
      <c r="E45" s="166" t="s">
        <v>83</v>
      </c>
      <c r="F45" s="165">
        <f>F40/$D$5*100</f>
        <v>-18.243896457855673</v>
      </c>
      <c r="G45" s="166" t="s">
        <v>83</v>
      </c>
      <c r="H45" s="388" t="str">
        <f>IF(F45&lt;50,"達成！",IF(F45&lt;70,"あと一歩！","　"))</f>
        <v>達成！</v>
      </c>
      <c r="I45" s="389"/>
    </row>
    <row r="47" spans="2:19" ht="20" customHeight="1" thickBot="1">
      <c r="B47" s="75" t="s">
        <v>549</v>
      </c>
    </row>
    <row r="48" spans="2:19" ht="24.75" customHeight="1">
      <c r="B48" s="368"/>
      <c r="C48" s="364"/>
      <c r="D48" s="364" t="s">
        <v>369</v>
      </c>
      <c r="E48" s="364"/>
      <c r="F48" s="364" t="s">
        <v>370</v>
      </c>
      <c r="G48" s="364"/>
      <c r="H48" s="381" t="s">
        <v>260</v>
      </c>
      <c r="I48" s="382"/>
    </row>
    <row r="49" spans="2:17" ht="26.25" customHeight="1" thickBot="1">
      <c r="B49" s="431" t="s">
        <v>550</v>
      </c>
      <c r="C49" s="432"/>
      <c r="D49" s="196">
        <f>M49</f>
        <v>367300</v>
      </c>
      <c r="E49" s="212" t="s">
        <v>259</v>
      </c>
      <c r="F49" s="196">
        <f>Q49</f>
        <v>29800</v>
      </c>
      <c r="G49" s="212" t="s">
        <v>259</v>
      </c>
      <c r="H49" s="197">
        <f t="shared" ref="H49" si="3">D49-F49</f>
        <v>337500</v>
      </c>
      <c r="I49" s="211" t="s">
        <v>259</v>
      </c>
      <c r="J49" s="38"/>
      <c r="K49" s="139"/>
      <c r="L49" s="139"/>
      <c r="M49" s="139">
        <f>IF(発電!E9=0,合計!D27,計算過程!C336)</f>
        <v>367300</v>
      </c>
      <c r="P49" s="124"/>
      <c r="Q49" s="139">
        <f>IF(発電!I9=0,合計!F27,計算過程!C337)</f>
        <v>29800</v>
      </c>
    </row>
    <row r="50" spans="2:17">
      <c r="C50" s="121"/>
      <c r="D50" s="132"/>
      <c r="E50" s="122"/>
      <c r="G50" s="123"/>
      <c r="H50" s="122"/>
      <c r="I50" s="122"/>
      <c r="J50" s="122"/>
      <c r="K50" s="123"/>
      <c r="L50" s="122"/>
      <c r="M50" s="122"/>
    </row>
    <row r="51" spans="2:17">
      <c r="C51" s="121"/>
      <c r="D51" s="132"/>
      <c r="E51" s="122"/>
      <c r="G51" s="123"/>
      <c r="H51" s="122"/>
      <c r="I51" s="122"/>
      <c r="J51" s="123"/>
      <c r="K51" s="123"/>
      <c r="L51" s="122"/>
      <c r="M51" s="122"/>
    </row>
  </sheetData>
  <sheetProtection algorithmName="SHA-512" hashValue="tipwOtvg5gQ0A3y6S6hqXmYwWgA1pazSEtgIOosjCe5FSVsghTco3uTQEpnstnQOn8HpHxvfsrcmpLC2xZpisA==" saltValue="bEI3/Y/mO/35ei6K81rw6w==" spinCount="100000" sheet="1" objects="1" scenarios="1" formatCells="0" formatColumns="0" formatRows="0" insertColumns="0" insertRows="0" insertHyperlinks="0" deleteColumns="0" deleteRows="0" sort="0" autoFilter="0" pivotTables="0"/>
  <mergeCells count="78">
    <mergeCell ref="B27:C27"/>
    <mergeCell ref="B23:C24"/>
    <mergeCell ref="B49:C49"/>
    <mergeCell ref="B15:C16"/>
    <mergeCell ref="B13:C14"/>
    <mergeCell ref="B25:C25"/>
    <mergeCell ref="B26:C26"/>
    <mergeCell ref="B39:C39"/>
    <mergeCell ref="B40:C40"/>
    <mergeCell ref="B37:C38"/>
    <mergeCell ref="B34:C34"/>
    <mergeCell ref="B33:C33"/>
    <mergeCell ref="B48:C48"/>
    <mergeCell ref="B45:C45"/>
    <mergeCell ref="B44:C44"/>
    <mergeCell ref="B43:C43"/>
    <mergeCell ref="L19:T20"/>
    <mergeCell ref="L21:T22"/>
    <mergeCell ref="L23:T24"/>
    <mergeCell ref="B4:C5"/>
    <mergeCell ref="B21:C22"/>
    <mergeCell ref="B19:C20"/>
    <mergeCell ref="B17:C18"/>
    <mergeCell ref="B11:C12"/>
    <mergeCell ref="L11:T12"/>
    <mergeCell ref="L15:T16"/>
    <mergeCell ref="K13:K14"/>
    <mergeCell ref="K11:K12"/>
    <mergeCell ref="L9:T10"/>
    <mergeCell ref="L13:T14"/>
    <mergeCell ref="L17:T18"/>
    <mergeCell ref="K23:K24"/>
    <mergeCell ref="K21:K22"/>
    <mergeCell ref="K19:K20"/>
    <mergeCell ref="K17:K18"/>
    <mergeCell ref="K15:K16"/>
    <mergeCell ref="J13:J14"/>
    <mergeCell ref="J11:J12"/>
    <mergeCell ref="J23:J24"/>
    <mergeCell ref="J21:J22"/>
    <mergeCell ref="J19:J20"/>
    <mergeCell ref="J17:J18"/>
    <mergeCell ref="J15:J16"/>
    <mergeCell ref="H32:I32"/>
    <mergeCell ref="F32:G32"/>
    <mergeCell ref="D32:E32"/>
    <mergeCell ref="B32:C32"/>
    <mergeCell ref="H34:I34"/>
    <mergeCell ref="H33:I33"/>
    <mergeCell ref="D48:E48"/>
    <mergeCell ref="F48:G48"/>
    <mergeCell ref="H48:I48"/>
    <mergeCell ref="H37:I38"/>
    <mergeCell ref="H43:I43"/>
    <mergeCell ref="H44:I44"/>
    <mergeCell ref="H45:I45"/>
    <mergeCell ref="D43:E43"/>
    <mergeCell ref="F43:G43"/>
    <mergeCell ref="F9:G10"/>
    <mergeCell ref="D9:E10"/>
    <mergeCell ref="B9:C10"/>
    <mergeCell ref="J10:K10"/>
    <mergeCell ref="H9:K9"/>
    <mergeCell ref="H10:I10"/>
    <mergeCell ref="H11:H12"/>
    <mergeCell ref="H17:H18"/>
    <mergeCell ref="H15:H16"/>
    <mergeCell ref="H13:H14"/>
    <mergeCell ref="H23:H24"/>
    <mergeCell ref="H21:H22"/>
    <mergeCell ref="H19:H20"/>
    <mergeCell ref="I21:I22"/>
    <mergeCell ref="I23:I24"/>
    <mergeCell ref="I11:I12"/>
    <mergeCell ref="I13:I14"/>
    <mergeCell ref="I15:I16"/>
    <mergeCell ref="I17:I18"/>
    <mergeCell ref="I19:I20"/>
  </mergeCells>
  <phoneticPr fontId="1"/>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119"/>
  <sheetViews>
    <sheetView topLeftCell="R1" workbookViewId="0">
      <selection activeCell="W17" sqref="W17"/>
    </sheetView>
  </sheetViews>
  <sheetFormatPr baseColWidth="12" defaultColWidth="8.83203125" defaultRowHeight="17" x14ac:dyDescent="0"/>
  <cols>
    <col min="11" max="11" width="11.5" customWidth="1"/>
  </cols>
  <sheetData>
    <row r="1" spans="2:39">
      <c r="L1" s="448" t="s">
        <v>10</v>
      </c>
      <c r="M1" s="448"/>
      <c r="N1" s="448"/>
      <c r="O1" s="448"/>
      <c r="P1" s="448"/>
      <c r="Q1" s="448"/>
      <c r="AA1" s="448" t="s">
        <v>320</v>
      </c>
      <c r="AB1" s="448"/>
      <c r="AC1" s="448"/>
      <c r="AD1" s="448"/>
      <c r="AE1" s="448"/>
      <c r="AF1" s="448"/>
    </row>
    <row r="2" spans="2:39" ht="18" thickBot="1">
      <c r="L2" s="2" t="s">
        <v>269</v>
      </c>
      <c r="M2" s="2" t="s">
        <v>270</v>
      </c>
      <c r="N2" s="2" t="s">
        <v>271</v>
      </c>
      <c r="O2" s="2" t="s">
        <v>272</v>
      </c>
      <c r="P2" s="2" t="s">
        <v>273</v>
      </c>
      <c r="Q2" s="2" t="s">
        <v>274</v>
      </c>
      <c r="S2" t="s">
        <v>123</v>
      </c>
      <c r="T2" t="str">
        <f>基本情報!D8</f>
        <v>大阪市</v>
      </c>
      <c r="AA2" s="2" t="s">
        <v>269</v>
      </c>
      <c r="AB2" s="2" t="s">
        <v>270</v>
      </c>
      <c r="AC2" s="2" t="s">
        <v>271</v>
      </c>
      <c r="AD2" s="2" t="s">
        <v>272</v>
      </c>
      <c r="AE2" s="2" t="s">
        <v>273</v>
      </c>
      <c r="AF2" s="2" t="s">
        <v>274</v>
      </c>
      <c r="AH2" t="s">
        <v>123</v>
      </c>
      <c r="AI2" t="str">
        <f>T2</f>
        <v>大阪市</v>
      </c>
    </row>
    <row r="3" spans="2:39">
      <c r="B3" s="21"/>
      <c r="C3" s="22" t="s">
        <v>261</v>
      </c>
      <c r="D3" s="22" t="s">
        <v>262</v>
      </c>
      <c r="E3" s="22" t="s">
        <v>263</v>
      </c>
      <c r="F3" s="22" t="s">
        <v>264</v>
      </c>
      <c r="G3" s="22" t="s">
        <v>265</v>
      </c>
      <c r="H3" s="22" t="s">
        <v>266</v>
      </c>
      <c r="I3" s="23" t="s">
        <v>267</v>
      </c>
      <c r="K3" s="35" t="s">
        <v>263</v>
      </c>
      <c r="L3" s="24">
        <v>41683.033000000003</v>
      </c>
      <c r="M3" s="24">
        <v>83770.401000000013</v>
      </c>
      <c r="N3" s="24">
        <v>93309.032000000007</v>
      </c>
      <c r="O3" s="24">
        <v>94451.244000000006</v>
      </c>
      <c r="P3" s="24">
        <v>114093.871</v>
      </c>
      <c r="Q3" s="24">
        <v>149089.61199999999</v>
      </c>
      <c r="S3">
        <f>VLOOKUP(T2,K3:Q51,2,FALSE)</f>
        <v>32659.781999999999</v>
      </c>
      <c r="T3">
        <f>VLOOKUP($T$2,$K$3:$Q$51,3,FALSE)</f>
        <v>58669.737000000001</v>
      </c>
      <c r="U3">
        <f>VLOOKUP($T$2,$K$3:$Q$51,4,FALSE)</f>
        <v>69148.948000000004</v>
      </c>
      <c r="V3">
        <f>VLOOKUP($T$2,$K$3:$Q$51,5,FALSE)</f>
        <v>74100.00499999999</v>
      </c>
      <c r="W3">
        <f>VLOOKUP($T$2,$K$3:$Q$51,6,FALSE)</f>
        <v>84125.745999999999</v>
      </c>
      <c r="X3">
        <f>VLOOKUP($T$2,$K$3:$Q$51,7,FALSE)</f>
        <v>99570.108000000007</v>
      </c>
      <c r="Z3" s="35" t="s">
        <v>263</v>
      </c>
      <c r="AA3" s="24">
        <v>2230.7109999999998</v>
      </c>
      <c r="AB3" s="24">
        <v>4014.6419999999998</v>
      </c>
      <c r="AC3" s="24">
        <v>4688.6989999999996</v>
      </c>
      <c r="AD3" s="24">
        <v>5013.2719999999999</v>
      </c>
      <c r="AE3" s="24">
        <v>5823.2690000000002</v>
      </c>
      <c r="AF3" s="24">
        <v>7196.08</v>
      </c>
      <c r="AH3">
        <f>VLOOKUP($AI$2,$Z$3:$AF$51,2,FALSE)</f>
        <v>2473.2629999999999</v>
      </c>
      <c r="AI3">
        <f>VLOOKUP($AI$2,$Z$3:$AF$51,3,FALSE)</f>
        <v>4451.165</v>
      </c>
      <c r="AJ3">
        <f>VLOOKUP($AI$2,$Z$3:$AF$51,4,FALSE)</f>
        <v>5198.5140000000001</v>
      </c>
      <c r="AK3">
        <f>VLOOKUP($AI$2,$Z$3:$AF$51,5,FALSE)</f>
        <v>5558.38</v>
      </c>
      <c r="AL3">
        <f>VLOOKUP($AI$2,$Z$3:$AF$51,6,FALSE)</f>
        <v>6456.45</v>
      </c>
      <c r="AM3">
        <f>VLOOKUP($AI$2,$Z$3:$AF$51,7,FALSE)</f>
        <v>7978.5309999999999</v>
      </c>
    </row>
    <row r="4" spans="2:39">
      <c r="B4" s="446" t="s">
        <v>268</v>
      </c>
      <c r="C4" s="2" t="s">
        <v>269</v>
      </c>
      <c r="D4" s="24">
        <v>35250.841</v>
      </c>
      <c r="E4" s="24">
        <v>41683.033000000003</v>
      </c>
      <c r="F4" s="24">
        <v>46434.775999999998</v>
      </c>
      <c r="G4" s="24">
        <v>42046.154999999999</v>
      </c>
      <c r="H4" s="24">
        <v>35627.044000000002</v>
      </c>
      <c r="I4" s="25">
        <v>42225.154000000002</v>
      </c>
      <c r="K4" s="35" t="s">
        <v>264</v>
      </c>
      <c r="L4" s="24">
        <v>46434.775999999998</v>
      </c>
      <c r="M4" s="24">
        <v>94515.157000000007</v>
      </c>
      <c r="N4" s="24">
        <v>104572.52100000001</v>
      </c>
      <c r="O4" s="24">
        <v>105136.287</v>
      </c>
      <c r="P4" s="24">
        <v>128102.962</v>
      </c>
      <c r="Q4" s="24">
        <v>169562.538</v>
      </c>
      <c r="S4" t="s">
        <v>123</v>
      </c>
      <c r="T4">
        <f>基本情報!D7</f>
        <v>5</v>
      </c>
      <c r="Z4" s="35" t="s">
        <v>264</v>
      </c>
      <c r="AA4" s="24">
        <v>2443.6570000000002</v>
      </c>
      <c r="AB4" s="24">
        <v>4397.884</v>
      </c>
      <c r="AC4" s="24">
        <v>5136.2870000000003</v>
      </c>
      <c r="AD4" s="24">
        <v>5491.8440000000001</v>
      </c>
      <c r="AE4" s="24">
        <v>6379.1639999999998</v>
      </c>
      <c r="AF4" s="24">
        <v>7883.0249999999996</v>
      </c>
      <c r="AH4" t="s">
        <v>123</v>
      </c>
      <c r="AI4">
        <f>T4</f>
        <v>5</v>
      </c>
    </row>
    <row r="5" spans="2:39">
      <c r="B5" s="446"/>
      <c r="C5" s="2" t="s">
        <v>270</v>
      </c>
      <c r="D5" s="24">
        <v>65489.430999999997</v>
      </c>
      <c r="E5" s="24">
        <v>83770.401000000013</v>
      </c>
      <c r="F5" s="24">
        <v>94515.157000000007</v>
      </c>
      <c r="G5" s="24">
        <v>82855.862999999998</v>
      </c>
      <c r="H5" s="24">
        <v>66545.590000000011</v>
      </c>
      <c r="I5" s="25">
        <v>83744.868000000002</v>
      </c>
      <c r="K5" s="35" t="s">
        <v>265</v>
      </c>
      <c r="L5" s="24">
        <v>42046.154999999999</v>
      </c>
      <c r="M5" s="24">
        <v>82855.862999999998</v>
      </c>
      <c r="N5" s="24">
        <v>93186.671000000002</v>
      </c>
      <c r="O5" s="24">
        <v>95296.112999999998</v>
      </c>
      <c r="P5" s="24">
        <v>113844.435</v>
      </c>
      <c r="Q5" s="24">
        <v>146320.43</v>
      </c>
      <c r="S5" t="s">
        <v>323</v>
      </c>
      <c r="T5">
        <f>IF(T4=1,S3,IF(T4=2,T3,IF(T4=3,U3,IF(T4=4,V3,IF(T4=5,W3,IF(T4=6,X3))))))</f>
        <v>84125.745999999999</v>
      </c>
      <c r="Z5" s="35" t="s">
        <v>265</v>
      </c>
      <c r="AA5" s="24">
        <v>2421.7809999999999</v>
      </c>
      <c r="AB5" s="24">
        <v>4358.5119999999997</v>
      </c>
      <c r="AC5" s="24">
        <v>5090.3050000000003</v>
      </c>
      <c r="AD5" s="24">
        <v>5442.6790000000001</v>
      </c>
      <c r="AE5" s="24">
        <v>6322.0559999999996</v>
      </c>
      <c r="AF5" s="24">
        <v>7812.4530000000004</v>
      </c>
      <c r="AH5" t="s">
        <v>323</v>
      </c>
      <c r="AI5">
        <f>IF(AI4=1,AH3,IF(AI4=2,AI3,IF(AI4=3,AJ3,IF(AI4=4,AK3,IF(AI4=5,AL3,IF(AI4=6,AM3))))))</f>
        <v>6456.45</v>
      </c>
    </row>
    <row r="6" spans="2:39">
      <c r="B6" s="446"/>
      <c r="C6" s="2" t="s">
        <v>271</v>
      </c>
      <c r="D6" s="24">
        <v>75821.001000000004</v>
      </c>
      <c r="E6" s="24">
        <v>93309.032000000007</v>
      </c>
      <c r="F6" s="24">
        <v>104572.52100000001</v>
      </c>
      <c r="G6" s="24">
        <v>93186.671000000002</v>
      </c>
      <c r="H6" s="24">
        <v>76956.684000000008</v>
      </c>
      <c r="I6" s="25">
        <v>93827.448000000004</v>
      </c>
      <c r="K6" s="35" t="s">
        <v>266</v>
      </c>
      <c r="L6" s="24">
        <v>35627.044000000002</v>
      </c>
      <c r="M6" s="24">
        <v>66545.590000000011</v>
      </c>
      <c r="N6" s="24">
        <v>76956.684000000008</v>
      </c>
      <c r="O6" s="24">
        <v>80894.327999999994</v>
      </c>
      <c r="P6" s="24">
        <v>93549.224000000002</v>
      </c>
      <c r="Q6" s="24">
        <v>114154.73</v>
      </c>
      <c r="Z6" s="35" t="s">
        <v>266</v>
      </c>
      <c r="AA6" s="24">
        <v>2310.69</v>
      </c>
      <c r="AB6" s="24">
        <v>4158.58</v>
      </c>
      <c r="AC6" s="24">
        <v>4856.8040000000001</v>
      </c>
      <c r="AD6" s="24">
        <v>5193.0140000000001</v>
      </c>
      <c r="AE6" s="24">
        <v>6032.0519999999997</v>
      </c>
      <c r="AF6" s="24">
        <v>7454.0829999999996</v>
      </c>
    </row>
    <row r="7" spans="2:39" ht="18" thickBot="1">
      <c r="B7" s="446"/>
      <c r="C7" s="2" t="s">
        <v>272</v>
      </c>
      <c r="D7" s="24">
        <v>79893.445999999996</v>
      </c>
      <c r="E7" s="24">
        <v>94451.244000000006</v>
      </c>
      <c r="F7" s="24">
        <v>105136.287</v>
      </c>
      <c r="G7" s="24">
        <v>95296.112999999998</v>
      </c>
      <c r="H7" s="24">
        <v>80894.327999999994</v>
      </c>
      <c r="I7" s="25">
        <v>95619.002000000008</v>
      </c>
      <c r="K7" s="35" t="s">
        <v>267</v>
      </c>
      <c r="L7" s="25">
        <v>42225.154000000002</v>
      </c>
      <c r="M7" s="25">
        <v>83744.868000000002</v>
      </c>
      <c r="N7" s="25">
        <v>93827.448000000004</v>
      </c>
      <c r="O7" s="25">
        <v>95619.002000000008</v>
      </c>
      <c r="P7" s="25">
        <v>114848.27</v>
      </c>
      <c r="Q7" s="25">
        <v>148867.068</v>
      </c>
      <c r="Z7" s="35" t="s">
        <v>267</v>
      </c>
      <c r="AA7" s="25">
        <v>2471.7820000000002</v>
      </c>
      <c r="AB7" s="25">
        <v>4448.5</v>
      </c>
      <c r="AC7" s="25">
        <v>5195.4009999999998</v>
      </c>
      <c r="AD7" s="25">
        <v>5555.0510000000004</v>
      </c>
      <c r="AE7" s="25">
        <v>6452.5829999999996</v>
      </c>
      <c r="AF7" s="27">
        <v>7973.7520000000004</v>
      </c>
    </row>
    <row r="8" spans="2:39">
      <c r="B8" s="446"/>
      <c r="C8" s="2" t="s">
        <v>273</v>
      </c>
      <c r="D8" s="24">
        <v>92521.509000000005</v>
      </c>
      <c r="E8" s="24">
        <v>114093.871</v>
      </c>
      <c r="F8" s="24">
        <v>128102.962</v>
      </c>
      <c r="G8" s="24">
        <v>113844.435</v>
      </c>
      <c r="H8" s="24">
        <v>93549.224000000002</v>
      </c>
      <c r="I8" s="25">
        <v>114848.27</v>
      </c>
      <c r="K8" s="35" t="s">
        <v>276</v>
      </c>
      <c r="L8" s="24">
        <v>43204.699000000001</v>
      </c>
      <c r="M8" s="24">
        <v>83630.09599999999</v>
      </c>
      <c r="N8" s="24">
        <v>94937.986000000004</v>
      </c>
      <c r="O8" s="24">
        <v>97994.018000000011</v>
      </c>
      <c r="P8" s="24">
        <v>115762.717</v>
      </c>
      <c r="Q8" s="24">
        <v>146210.962</v>
      </c>
      <c r="Z8" s="35" t="s">
        <v>276</v>
      </c>
      <c r="AA8" s="24">
        <v>2580.5439999999999</v>
      </c>
      <c r="AB8" s="24">
        <v>4644.241</v>
      </c>
      <c r="AC8" s="24">
        <v>5424.0069999999996</v>
      </c>
      <c r="AD8" s="24">
        <v>5799.482</v>
      </c>
      <c r="AE8" s="24">
        <v>6736.5079999999998</v>
      </c>
      <c r="AF8" s="24">
        <v>8324.6110000000008</v>
      </c>
    </row>
    <row r="9" spans="2:39">
      <c r="B9" s="446"/>
      <c r="C9" s="2" t="s">
        <v>274</v>
      </c>
      <c r="D9" s="24">
        <v>113269.53599999999</v>
      </c>
      <c r="E9" s="24">
        <v>149089.61199999999</v>
      </c>
      <c r="F9" s="24">
        <v>169562.538</v>
      </c>
      <c r="G9" s="24">
        <v>146320.43</v>
      </c>
      <c r="H9" s="24">
        <v>114154.73</v>
      </c>
      <c r="I9" s="25">
        <v>148867.068</v>
      </c>
      <c r="K9" s="35" t="s">
        <v>277</v>
      </c>
      <c r="L9" s="24">
        <v>39740.531999999999</v>
      </c>
      <c r="M9" s="24">
        <v>75288.915000000008</v>
      </c>
      <c r="N9" s="24">
        <v>86358.56</v>
      </c>
      <c r="O9" s="24">
        <v>90112.847999999998</v>
      </c>
      <c r="P9" s="24">
        <v>105312.86600000001</v>
      </c>
      <c r="Q9" s="24">
        <v>130803.193</v>
      </c>
      <c r="Z9" s="35" t="s">
        <v>277</v>
      </c>
      <c r="AA9" s="24">
        <v>2602.3330000000001</v>
      </c>
      <c r="AB9" s="24">
        <v>4683.4549999999999</v>
      </c>
      <c r="AC9" s="24">
        <v>5469.8059999999996</v>
      </c>
      <c r="AD9" s="24">
        <v>5848.451</v>
      </c>
      <c r="AE9" s="24">
        <v>6793.3879999999999</v>
      </c>
      <c r="AF9" s="24">
        <v>8394.9009999999998</v>
      </c>
    </row>
    <row r="10" spans="2:39">
      <c r="B10" s="446" t="s">
        <v>275</v>
      </c>
      <c r="C10" s="2" t="s">
        <v>269</v>
      </c>
      <c r="D10" s="24">
        <v>2514.6</v>
      </c>
      <c r="E10" s="24">
        <v>2230.7109999999998</v>
      </c>
      <c r="F10" s="24">
        <v>2443.6570000000002</v>
      </c>
      <c r="G10" s="24">
        <v>2421.7809999999999</v>
      </c>
      <c r="H10" s="24">
        <v>2310.69</v>
      </c>
      <c r="I10" s="25">
        <v>2471.7820000000002</v>
      </c>
      <c r="K10" s="35" t="s">
        <v>278</v>
      </c>
      <c r="L10" s="24">
        <v>35085.58</v>
      </c>
      <c r="M10" s="24">
        <v>64720.097999999998</v>
      </c>
      <c r="N10" s="24">
        <v>75257.616000000009</v>
      </c>
      <c r="O10" s="24">
        <v>79593.42300000001</v>
      </c>
      <c r="P10" s="24">
        <v>91635.714999999997</v>
      </c>
      <c r="Q10" s="24">
        <v>111056.177</v>
      </c>
      <c r="Z10" s="35" t="s">
        <v>278</v>
      </c>
      <c r="AA10" s="24">
        <v>2464.7689999999998</v>
      </c>
      <c r="AB10" s="24">
        <v>4435.8789999999999</v>
      </c>
      <c r="AC10" s="24">
        <v>5180.6620000000003</v>
      </c>
      <c r="AD10" s="24">
        <v>5539.2910000000002</v>
      </c>
      <c r="AE10" s="24">
        <v>6434.277</v>
      </c>
      <c r="AF10" s="24">
        <v>7951.1310000000003</v>
      </c>
    </row>
    <row r="11" spans="2:39" ht="18" thickBot="1">
      <c r="B11" s="446"/>
      <c r="C11" s="2" t="s">
        <v>270</v>
      </c>
      <c r="D11" s="24">
        <v>4525.5600000000004</v>
      </c>
      <c r="E11" s="24">
        <v>4014.6419999999998</v>
      </c>
      <c r="F11" s="24">
        <v>4397.884</v>
      </c>
      <c r="G11" s="24">
        <v>4358.5119999999997</v>
      </c>
      <c r="H11" s="24">
        <v>4158.58</v>
      </c>
      <c r="I11" s="25">
        <v>4448.5</v>
      </c>
      <c r="K11" s="35" t="s">
        <v>279</v>
      </c>
      <c r="L11" s="29">
        <v>35277.205000000002</v>
      </c>
      <c r="M11" s="29">
        <v>65134.178</v>
      </c>
      <c r="N11" s="29">
        <v>75691.687000000005</v>
      </c>
      <c r="O11" s="29">
        <v>80013.051999999996</v>
      </c>
      <c r="P11" s="29">
        <v>92203.32699999999</v>
      </c>
      <c r="Q11" s="29">
        <v>111924.73999999999</v>
      </c>
      <c r="Z11" s="35" t="s">
        <v>279</v>
      </c>
      <c r="AA11" s="29">
        <v>2489.8440000000001</v>
      </c>
      <c r="AB11" s="29">
        <v>4481.0069999999996</v>
      </c>
      <c r="AC11" s="29">
        <v>5233.366</v>
      </c>
      <c r="AD11" s="29">
        <v>5595.6440000000002</v>
      </c>
      <c r="AE11" s="29">
        <v>6499.7349999999997</v>
      </c>
      <c r="AF11" s="31">
        <v>8032.02</v>
      </c>
    </row>
    <row r="12" spans="2:39" ht="18" thickBot="1">
      <c r="B12" s="446"/>
      <c r="C12" s="2" t="s">
        <v>271</v>
      </c>
      <c r="D12" s="24">
        <v>5285.4</v>
      </c>
      <c r="E12" s="24">
        <v>4688.6989999999996</v>
      </c>
      <c r="F12" s="24">
        <v>5136.2870000000003</v>
      </c>
      <c r="G12" s="24">
        <v>5090.3050000000003</v>
      </c>
      <c r="H12" s="24">
        <v>4856.8040000000001</v>
      </c>
      <c r="I12" s="25">
        <v>5195.4009999999998</v>
      </c>
      <c r="K12" s="35" t="s">
        <v>280</v>
      </c>
      <c r="L12" s="24">
        <v>30044.462</v>
      </c>
      <c r="M12" s="24">
        <v>55404.584000000003</v>
      </c>
      <c r="N12" s="24">
        <v>64409.664999999994</v>
      </c>
      <c r="O12" s="24">
        <v>68125.911000000007</v>
      </c>
      <c r="P12" s="24">
        <v>78504.577999999994</v>
      </c>
      <c r="Q12" s="24">
        <v>95308.862000000008</v>
      </c>
      <c r="Z12" s="35" t="s">
        <v>280</v>
      </c>
      <c r="AA12" s="24">
        <v>2152.4279999999999</v>
      </c>
      <c r="AB12" s="24">
        <v>3873.7550000000001</v>
      </c>
      <c r="AC12" s="24">
        <v>4524.1570000000002</v>
      </c>
      <c r="AD12" s="24">
        <v>4837.34</v>
      </c>
      <c r="AE12" s="24">
        <v>5618.9120000000003</v>
      </c>
      <c r="AF12" s="32">
        <v>6943.5460000000003</v>
      </c>
    </row>
    <row r="13" spans="2:39" ht="18" thickBot="1">
      <c r="B13" s="446"/>
      <c r="C13" s="2" t="s">
        <v>272</v>
      </c>
      <c r="D13" s="24">
        <v>5651.28</v>
      </c>
      <c r="E13" s="24">
        <v>5013.2719999999999</v>
      </c>
      <c r="F13" s="24">
        <v>5491.8440000000001</v>
      </c>
      <c r="G13" s="24">
        <v>5442.6790000000001</v>
      </c>
      <c r="H13" s="24">
        <v>5193.0140000000001</v>
      </c>
      <c r="I13" s="25">
        <v>5555.0510000000004</v>
      </c>
      <c r="K13" s="35" t="s">
        <v>281</v>
      </c>
      <c r="L13" s="25">
        <v>35388.707999999999</v>
      </c>
      <c r="M13" s="25">
        <v>64133.712</v>
      </c>
      <c r="N13" s="25">
        <v>75262.738000000012</v>
      </c>
      <c r="O13" s="25">
        <v>80304.452999999994</v>
      </c>
      <c r="P13" s="25">
        <v>91549.238000000012</v>
      </c>
      <c r="Q13" s="25">
        <v>109118.65499999998</v>
      </c>
      <c r="Z13" s="35" t="s">
        <v>281</v>
      </c>
      <c r="AA13" s="25">
        <v>2595.5259999999998</v>
      </c>
      <c r="AB13" s="25">
        <v>4671.2039999999997</v>
      </c>
      <c r="AC13" s="25">
        <v>5455.4979999999996</v>
      </c>
      <c r="AD13" s="25">
        <v>5833.1530000000002</v>
      </c>
      <c r="AE13" s="25">
        <v>6775.6180000000004</v>
      </c>
      <c r="AF13" s="27">
        <v>8372.9410000000007</v>
      </c>
    </row>
    <row r="14" spans="2:39">
      <c r="B14" s="446"/>
      <c r="C14" s="2" t="s">
        <v>273</v>
      </c>
      <c r="D14" s="24">
        <v>6564.36</v>
      </c>
      <c r="E14" s="24">
        <v>5823.2690000000002</v>
      </c>
      <c r="F14" s="24">
        <v>6379.1639999999998</v>
      </c>
      <c r="G14" s="24">
        <v>6322.0559999999996</v>
      </c>
      <c r="H14" s="24">
        <v>6032.0519999999997</v>
      </c>
      <c r="I14" s="25">
        <v>6452.5829999999996</v>
      </c>
      <c r="K14" s="35" t="s">
        <v>282</v>
      </c>
      <c r="L14" s="24">
        <v>29932.373</v>
      </c>
      <c r="M14" s="24">
        <v>54241.447999999997</v>
      </c>
      <c r="N14" s="24">
        <v>63646.569999999992</v>
      </c>
      <c r="O14" s="24">
        <v>67910.900000000009</v>
      </c>
      <c r="P14" s="24">
        <v>77448.852000000014</v>
      </c>
      <c r="Q14" s="24">
        <v>92379.112000000008</v>
      </c>
      <c r="Z14" s="35" t="s">
        <v>282</v>
      </c>
      <c r="AA14" s="24">
        <v>2210.893</v>
      </c>
      <c r="AB14" s="24">
        <v>3978.9740000000002</v>
      </c>
      <c r="AC14" s="24">
        <v>4647.0420000000004</v>
      </c>
      <c r="AD14" s="24">
        <v>4968.732</v>
      </c>
      <c r="AE14" s="24">
        <v>5771.5320000000002</v>
      </c>
      <c r="AF14" s="24">
        <v>7132.1469999999999</v>
      </c>
    </row>
    <row r="15" spans="2:39" ht="18" thickBot="1">
      <c r="B15" s="449"/>
      <c r="C15" s="26" t="s">
        <v>274</v>
      </c>
      <c r="D15" s="24">
        <v>8111.88</v>
      </c>
      <c r="E15" s="24">
        <v>7196.08</v>
      </c>
      <c r="F15" s="24">
        <v>7883.0249999999996</v>
      </c>
      <c r="G15" s="24">
        <v>7812.4530000000004</v>
      </c>
      <c r="H15" s="24">
        <v>7454.0829999999996</v>
      </c>
      <c r="I15" s="27">
        <v>7973.7520000000004</v>
      </c>
      <c r="K15" s="35" t="s">
        <v>283</v>
      </c>
      <c r="L15" s="24">
        <v>32729.907000000003</v>
      </c>
      <c r="M15" s="24">
        <v>58878.411</v>
      </c>
      <c r="N15" s="24">
        <v>69335.785999999993</v>
      </c>
      <c r="O15" s="24">
        <v>74247.271999999997</v>
      </c>
      <c r="P15" s="24">
        <v>84385.12000000001</v>
      </c>
      <c r="Q15" s="24">
        <v>100073.481</v>
      </c>
      <c r="Z15" s="35" t="s">
        <v>283</v>
      </c>
      <c r="AA15" s="24">
        <v>2483.596</v>
      </c>
      <c r="AB15" s="24">
        <v>4469.7619999999997</v>
      </c>
      <c r="AC15" s="24">
        <v>5220.2340000000004</v>
      </c>
      <c r="AD15" s="24">
        <v>5581.6019999999999</v>
      </c>
      <c r="AE15" s="24">
        <v>6483.4250000000002</v>
      </c>
      <c r="AF15" s="24">
        <v>8011.8639999999996</v>
      </c>
    </row>
    <row r="16" spans="2:39">
      <c r="B16" s="21"/>
      <c r="C16" s="22" t="s">
        <v>261</v>
      </c>
      <c r="D16" s="22" t="s">
        <v>276</v>
      </c>
      <c r="E16" s="22" t="s">
        <v>277</v>
      </c>
      <c r="F16" s="22" t="s">
        <v>278</v>
      </c>
      <c r="G16" s="28" t="s">
        <v>279</v>
      </c>
      <c r="H16" s="22" t="s">
        <v>280</v>
      </c>
      <c r="I16" s="23" t="s">
        <v>281</v>
      </c>
      <c r="K16" s="35" t="s">
        <v>284</v>
      </c>
      <c r="L16" s="24">
        <v>32446.471999999998</v>
      </c>
      <c r="M16" s="24">
        <v>58595.813000000002</v>
      </c>
      <c r="N16" s="24">
        <v>68909.430999999997</v>
      </c>
      <c r="O16" s="24">
        <v>73656.852999999988</v>
      </c>
      <c r="P16" s="24">
        <v>83742.695000000007</v>
      </c>
      <c r="Q16" s="24">
        <v>99330.159</v>
      </c>
      <c r="Z16" s="35" t="s">
        <v>284</v>
      </c>
      <c r="AA16" s="24">
        <v>2368.0309999999999</v>
      </c>
      <c r="AB16" s="24">
        <v>4261.7780000000002</v>
      </c>
      <c r="AC16" s="24">
        <v>4977.3289999999997</v>
      </c>
      <c r="AD16" s="24">
        <v>5321.8819999999996</v>
      </c>
      <c r="AE16" s="24">
        <v>6181.7420000000002</v>
      </c>
      <c r="AF16" s="24">
        <v>7639.0609999999997</v>
      </c>
    </row>
    <row r="17" spans="2:32">
      <c r="B17" s="446" t="s">
        <v>268</v>
      </c>
      <c r="C17" s="2" t="s">
        <v>269</v>
      </c>
      <c r="D17" s="24">
        <v>43204.699000000001</v>
      </c>
      <c r="E17" s="24">
        <v>39740.531999999999</v>
      </c>
      <c r="F17" s="24">
        <v>35085.58</v>
      </c>
      <c r="G17" s="29">
        <v>35277.205000000002</v>
      </c>
      <c r="H17" s="24">
        <v>30044.462</v>
      </c>
      <c r="I17" s="25">
        <v>35388.707999999999</v>
      </c>
      <c r="K17" s="35" t="s">
        <v>285</v>
      </c>
      <c r="L17" s="24">
        <v>31236.984</v>
      </c>
      <c r="M17" s="24">
        <v>56269.245000000003</v>
      </c>
      <c r="N17" s="24">
        <v>66256.546000000002</v>
      </c>
      <c r="O17" s="24">
        <v>70909.079000000012</v>
      </c>
      <c r="P17" s="24">
        <v>80519.554000000004</v>
      </c>
      <c r="Q17" s="24">
        <v>95307.547999999995</v>
      </c>
      <c r="Z17" s="35" t="s">
        <v>285</v>
      </c>
      <c r="AA17" s="24">
        <v>2299.7489999999998</v>
      </c>
      <c r="AB17" s="24">
        <v>4138.8900000000003</v>
      </c>
      <c r="AC17" s="24">
        <v>4833.808</v>
      </c>
      <c r="AD17" s="24">
        <v>5168.4269999999997</v>
      </c>
      <c r="AE17" s="24">
        <v>6003.4920000000002</v>
      </c>
      <c r="AF17" s="24">
        <v>7418.79</v>
      </c>
    </row>
    <row r="18" spans="2:32">
      <c r="B18" s="446"/>
      <c r="C18" s="2" t="s">
        <v>270</v>
      </c>
      <c r="D18" s="24">
        <v>83630.09599999999</v>
      </c>
      <c r="E18" s="24">
        <v>75288.915000000008</v>
      </c>
      <c r="F18" s="24">
        <v>64720.097999999998</v>
      </c>
      <c r="G18" s="29">
        <v>65134.178</v>
      </c>
      <c r="H18" s="24">
        <v>55404.584000000003</v>
      </c>
      <c r="I18" s="25">
        <v>64133.712</v>
      </c>
      <c r="K18" s="35" t="s">
        <v>286</v>
      </c>
      <c r="L18" s="24">
        <v>37926.455000000002</v>
      </c>
      <c r="M18" s="24">
        <v>70603.413</v>
      </c>
      <c r="N18" s="24">
        <v>81729.350999999995</v>
      </c>
      <c r="O18" s="24">
        <v>86044.930999999997</v>
      </c>
      <c r="P18" s="24">
        <v>99518.285000000003</v>
      </c>
      <c r="Q18" s="24">
        <v>121516.66100000001</v>
      </c>
      <c r="Z18" s="35" t="s">
        <v>286</v>
      </c>
      <c r="AA18" s="24">
        <v>2577.6390000000001</v>
      </c>
      <c r="AB18" s="24">
        <v>4639.0119999999997</v>
      </c>
      <c r="AC18" s="24">
        <v>5417.9</v>
      </c>
      <c r="AD18" s="24">
        <v>5792.9530000000004</v>
      </c>
      <c r="AE18" s="24">
        <v>6728.9229999999998</v>
      </c>
      <c r="AF18" s="24">
        <v>8315.2379999999994</v>
      </c>
    </row>
    <row r="19" spans="2:32" ht="18" thickBot="1">
      <c r="B19" s="446"/>
      <c r="C19" s="2" t="s">
        <v>271</v>
      </c>
      <c r="D19" s="24">
        <v>94937.986000000004</v>
      </c>
      <c r="E19" s="24">
        <v>86358.56</v>
      </c>
      <c r="F19" s="24">
        <v>75257.616000000009</v>
      </c>
      <c r="G19" s="29">
        <v>75691.687000000005</v>
      </c>
      <c r="H19" s="24">
        <v>64409.664999999994</v>
      </c>
      <c r="I19" s="25">
        <v>75262.738000000012</v>
      </c>
      <c r="K19" s="35" t="s">
        <v>287</v>
      </c>
      <c r="L19" s="25">
        <v>43881.055999999997</v>
      </c>
      <c r="M19" s="25">
        <v>83656.236999999994</v>
      </c>
      <c r="N19" s="25">
        <v>95513.447</v>
      </c>
      <c r="O19" s="25">
        <v>99320.627999999997</v>
      </c>
      <c r="P19" s="25">
        <v>116942.05899999999</v>
      </c>
      <c r="Q19" s="25">
        <v>147098.11199999999</v>
      </c>
      <c r="Z19" s="35" t="s">
        <v>287</v>
      </c>
      <c r="AA19" s="25">
        <v>3038.8429999999998</v>
      </c>
      <c r="AB19" s="25">
        <v>5469.0469999999996</v>
      </c>
      <c r="AC19" s="25">
        <v>6387.2979999999998</v>
      </c>
      <c r="AD19" s="25">
        <v>6829.4560000000001</v>
      </c>
      <c r="AE19" s="25">
        <v>7932.8950000000004</v>
      </c>
      <c r="AF19" s="27">
        <v>9803.0409999999993</v>
      </c>
    </row>
    <row r="20" spans="2:32">
      <c r="B20" s="446"/>
      <c r="C20" s="2" t="s">
        <v>272</v>
      </c>
      <c r="D20" s="24">
        <v>97994.018000000011</v>
      </c>
      <c r="E20" s="24">
        <v>90112.847999999998</v>
      </c>
      <c r="F20" s="24">
        <v>79593.42300000001</v>
      </c>
      <c r="G20" s="29">
        <v>80013.051999999996</v>
      </c>
      <c r="H20" s="24">
        <v>68125.911000000007</v>
      </c>
      <c r="I20" s="25">
        <v>80304.452999999994</v>
      </c>
      <c r="K20" s="35" t="s">
        <v>288</v>
      </c>
      <c r="L20" s="24">
        <v>41513.255000000005</v>
      </c>
      <c r="M20" s="24">
        <v>77822.414000000004</v>
      </c>
      <c r="N20" s="24">
        <v>89607.297999999995</v>
      </c>
      <c r="O20" s="24">
        <v>93977.024000000005</v>
      </c>
      <c r="P20" s="24">
        <v>109637.073</v>
      </c>
      <c r="Q20" s="24">
        <v>135911.84399999998</v>
      </c>
      <c r="Z20" s="35" t="s">
        <v>288</v>
      </c>
      <c r="AA20" s="24">
        <v>3015.201</v>
      </c>
      <c r="AB20" s="24">
        <v>5426.4979999999996</v>
      </c>
      <c r="AC20" s="24">
        <v>6337.6049999999996</v>
      </c>
      <c r="AD20" s="24">
        <v>6776.3239999999996</v>
      </c>
      <c r="AE20" s="24">
        <v>7871.1779999999999</v>
      </c>
      <c r="AF20" s="24">
        <v>9726.7749999999996</v>
      </c>
    </row>
    <row r="21" spans="2:32" ht="18" thickBot="1">
      <c r="B21" s="446"/>
      <c r="C21" s="2" t="s">
        <v>273</v>
      </c>
      <c r="D21" s="24">
        <v>115762.717</v>
      </c>
      <c r="E21" s="24">
        <v>105312.86600000001</v>
      </c>
      <c r="F21" s="24">
        <v>91635.714999999997</v>
      </c>
      <c r="G21" s="29">
        <v>92203.32699999999</v>
      </c>
      <c r="H21" s="24">
        <v>78504.577999999994</v>
      </c>
      <c r="I21" s="25">
        <v>91549.238000000012</v>
      </c>
      <c r="K21" s="35" t="s">
        <v>289</v>
      </c>
      <c r="L21" s="29">
        <v>42731.803</v>
      </c>
      <c r="M21" s="29">
        <v>79565.134999999995</v>
      </c>
      <c r="N21" s="29">
        <v>91939.520000000004</v>
      </c>
      <c r="O21" s="29">
        <v>96755.257000000012</v>
      </c>
      <c r="P21" s="29">
        <v>112427.28599999999</v>
      </c>
      <c r="Q21" s="29">
        <v>138464.27900000001</v>
      </c>
      <c r="Z21" s="35" t="s">
        <v>289</v>
      </c>
      <c r="AA21" s="29">
        <v>3144.7170000000001</v>
      </c>
      <c r="AB21" s="29">
        <v>5659.59</v>
      </c>
      <c r="AC21" s="29">
        <v>6609.8329999999996</v>
      </c>
      <c r="AD21" s="29">
        <v>7067.3969999999999</v>
      </c>
      <c r="AE21" s="29">
        <v>8209.2790000000005</v>
      </c>
      <c r="AF21" s="31">
        <v>10144.582</v>
      </c>
    </row>
    <row r="22" spans="2:32" ht="18" thickBot="1">
      <c r="B22" s="446"/>
      <c r="C22" s="2" t="s">
        <v>274</v>
      </c>
      <c r="D22" s="24">
        <v>146210.962</v>
      </c>
      <c r="E22" s="24">
        <v>130803.193</v>
      </c>
      <c r="F22" s="24">
        <v>111056.177</v>
      </c>
      <c r="G22" s="29">
        <v>111924.73999999999</v>
      </c>
      <c r="H22" s="24">
        <v>95308.862000000008</v>
      </c>
      <c r="I22" s="25">
        <v>109118.65499999998</v>
      </c>
      <c r="K22" s="35" t="s">
        <v>290</v>
      </c>
      <c r="L22" s="24">
        <v>33667.457000000002</v>
      </c>
      <c r="M22" s="24">
        <v>62841.846000000005</v>
      </c>
      <c r="N22" s="24">
        <v>72528.678</v>
      </c>
      <c r="O22" s="24">
        <v>76234.04800000001</v>
      </c>
      <c r="P22" s="24">
        <v>88688.467999999993</v>
      </c>
      <c r="Q22" s="24">
        <v>109436.83200000001</v>
      </c>
      <c r="Z22" s="35" t="s">
        <v>290</v>
      </c>
      <c r="AA22" s="24">
        <v>2455.502</v>
      </c>
      <c r="AB22" s="24">
        <v>4419.201</v>
      </c>
      <c r="AC22" s="24">
        <v>5161.183</v>
      </c>
      <c r="AD22" s="24">
        <v>5518.4639999999999</v>
      </c>
      <c r="AE22" s="24">
        <v>6410.085</v>
      </c>
      <c r="AF22" s="32">
        <v>7921.2359999999999</v>
      </c>
    </row>
    <row r="23" spans="2:32" ht="18" thickBot="1">
      <c r="B23" s="446" t="s">
        <v>275</v>
      </c>
      <c r="C23" s="2" t="s">
        <v>269</v>
      </c>
      <c r="D23" s="24">
        <v>2580.5439999999999</v>
      </c>
      <c r="E23" s="24">
        <v>2602.3330000000001</v>
      </c>
      <c r="F23" s="24">
        <v>2464.7689999999998</v>
      </c>
      <c r="G23" s="29">
        <v>2489.8440000000001</v>
      </c>
      <c r="H23" s="24">
        <v>2152.4279999999999</v>
      </c>
      <c r="I23" s="25">
        <v>2595.5259999999998</v>
      </c>
      <c r="K23" s="35" t="s">
        <v>291</v>
      </c>
      <c r="L23" s="24">
        <v>35683.822</v>
      </c>
      <c r="M23" s="24">
        <v>67553.846999999994</v>
      </c>
      <c r="N23" s="24">
        <v>77509.994000000006</v>
      </c>
      <c r="O23" s="24">
        <v>80908.802000000011</v>
      </c>
      <c r="P23" s="24">
        <v>94534.178</v>
      </c>
      <c r="Q23" s="24">
        <v>117375.967</v>
      </c>
      <c r="Z23" s="35" t="s">
        <v>291</v>
      </c>
      <c r="AA23" s="24">
        <v>2349.5540000000001</v>
      </c>
      <c r="AB23" s="24">
        <v>4228.5240000000003</v>
      </c>
      <c r="AC23" s="24">
        <v>4938.491</v>
      </c>
      <c r="AD23" s="24">
        <v>5280.357</v>
      </c>
      <c r="AE23" s="24">
        <v>6133.5060000000003</v>
      </c>
      <c r="AF23" s="32">
        <v>7579.4549999999999</v>
      </c>
    </row>
    <row r="24" spans="2:32" ht="18" thickBot="1">
      <c r="B24" s="446"/>
      <c r="C24" s="2" t="s">
        <v>270</v>
      </c>
      <c r="D24" s="24">
        <v>4644.241</v>
      </c>
      <c r="E24" s="24">
        <v>4683.4549999999999</v>
      </c>
      <c r="F24" s="24">
        <v>4435.8789999999999</v>
      </c>
      <c r="G24" s="29">
        <v>4481.0069999999996</v>
      </c>
      <c r="H24" s="24">
        <v>3873.7550000000001</v>
      </c>
      <c r="I24" s="25">
        <v>4671.2039999999997</v>
      </c>
      <c r="K24" s="35" t="s">
        <v>292</v>
      </c>
      <c r="L24" s="24">
        <v>38242.108999999997</v>
      </c>
      <c r="M24" s="24">
        <v>69883.406000000003</v>
      </c>
      <c r="N24" s="24">
        <v>81603.478999999992</v>
      </c>
      <c r="O24" s="24">
        <v>86701.222000000009</v>
      </c>
      <c r="P24" s="24">
        <v>99474.099000000002</v>
      </c>
      <c r="Q24" s="24">
        <v>119903.90400000001</v>
      </c>
      <c r="Z24" s="35" t="s">
        <v>292</v>
      </c>
      <c r="AA24" s="24">
        <v>2833.473</v>
      </c>
      <c r="AB24" s="24">
        <v>5099.4399999999996</v>
      </c>
      <c r="AC24" s="24">
        <v>5955.634</v>
      </c>
      <c r="AD24" s="24">
        <v>6367.9110000000001</v>
      </c>
      <c r="AE24" s="24">
        <v>7396.777</v>
      </c>
      <c r="AF24" s="32">
        <v>9140.5360000000001</v>
      </c>
    </row>
    <row r="25" spans="2:32" ht="18" thickBot="1">
      <c r="B25" s="446"/>
      <c r="C25" s="2" t="s">
        <v>271</v>
      </c>
      <c r="D25" s="24">
        <v>5424.0069999999996</v>
      </c>
      <c r="E25" s="24">
        <v>5469.8059999999996</v>
      </c>
      <c r="F25" s="24">
        <v>5180.6620000000003</v>
      </c>
      <c r="G25" s="29">
        <v>5233.366</v>
      </c>
      <c r="H25" s="24">
        <v>4524.1570000000002</v>
      </c>
      <c r="I25" s="25">
        <v>5455.4979999999996</v>
      </c>
      <c r="K25" s="35" t="s">
        <v>293</v>
      </c>
      <c r="L25" s="25">
        <v>34760.043000000005</v>
      </c>
      <c r="M25" s="25">
        <v>63038.834000000003</v>
      </c>
      <c r="N25" s="25">
        <v>73966.225999999995</v>
      </c>
      <c r="O25" s="25">
        <v>78896.161000000007</v>
      </c>
      <c r="P25" s="25">
        <v>89928.145000000004</v>
      </c>
      <c r="Q25" s="25">
        <v>107141.27500000001</v>
      </c>
      <c r="Z25" s="35" t="s">
        <v>293</v>
      </c>
      <c r="AA25" s="25">
        <v>2520.9270000000001</v>
      </c>
      <c r="AB25" s="25">
        <v>4536.9459999999999</v>
      </c>
      <c r="AC25" s="25">
        <v>5298.6980000000003</v>
      </c>
      <c r="AD25" s="25">
        <v>5665.4979999999996</v>
      </c>
      <c r="AE25" s="25">
        <v>6580.8760000000002</v>
      </c>
      <c r="AF25" s="27">
        <v>8132.2889999999998</v>
      </c>
    </row>
    <row r="26" spans="2:32">
      <c r="B26" s="446"/>
      <c r="C26" s="2" t="s">
        <v>272</v>
      </c>
      <c r="D26" s="24">
        <v>5799.482</v>
      </c>
      <c r="E26" s="24">
        <v>5848.451</v>
      </c>
      <c r="F26" s="24">
        <v>5539.2910000000002</v>
      </c>
      <c r="G26" s="29">
        <v>5595.6440000000002</v>
      </c>
      <c r="H26" s="24">
        <v>4837.34</v>
      </c>
      <c r="I26" s="25">
        <v>5833.1530000000002</v>
      </c>
      <c r="K26" s="35" t="s">
        <v>294</v>
      </c>
      <c r="L26" s="24">
        <v>33423.889000000003</v>
      </c>
      <c r="M26" s="24">
        <v>60502.047999999995</v>
      </c>
      <c r="N26" s="24">
        <v>71039.386999999988</v>
      </c>
      <c r="O26" s="24">
        <v>75841.36</v>
      </c>
      <c r="P26" s="24">
        <v>86420.928999999989</v>
      </c>
      <c r="Q26" s="24">
        <v>102928.16900000001</v>
      </c>
      <c r="Z26" s="35" t="s">
        <v>294</v>
      </c>
      <c r="AA26" s="24">
        <v>2465.77</v>
      </c>
      <c r="AB26" s="24">
        <v>4437.68</v>
      </c>
      <c r="AC26" s="24">
        <v>5182.7650000000003</v>
      </c>
      <c r="AD26" s="24">
        <v>5541.54</v>
      </c>
      <c r="AE26" s="24">
        <v>6436.8890000000001</v>
      </c>
      <c r="AF26" s="24">
        <v>7954.3580000000002</v>
      </c>
    </row>
    <row r="27" spans="2:32">
      <c r="B27" s="446"/>
      <c r="C27" s="2" t="s">
        <v>273</v>
      </c>
      <c r="D27" s="24">
        <v>6736.5079999999998</v>
      </c>
      <c r="E27" s="24">
        <v>6793.3879999999999</v>
      </c>
      <c r="F27" s="24">
        <v>6434.277</v>
      </c>
      <c r="G27" s="29">
        <v>6499.7349999999997</v>
      </c>
      <c r="H27" s="24">
        <v>5618.9120000000003</v>
      </c>
      <c r="I27" s="25">
        <v>6775.6180000000004</v>
      </c>
      <c r="K27" s="35" t="s">
        <v>295</v>
      </c>
      <c r="L27" s="24">
        <v>35551.803</v>
      </c>
      <c r="M27" s="24">
        <v>65105.896000000001</v>
      </c>
      <c r="N27" s="24">
        <v>75910.17</v>
      </c>
      <c r="O27" s="24">
        <v>80560.830999999991</v>
      </c>
      <c r="P27" s="24">
        <v>92639.712000000014</v>
      </c>
      <c r="Q27" s="24">
        <v>112120.4</v>
      </c>
      <c r="Z27" s="35" t="s">
        <v>295</v>
      </c>
      <c r="AA27" s="24">
        <v>2669.0340000000001</v>
      </c>
      <c r="AB27" s="24">
        <v>4803.4960000000001</v>
      </c>
      <c r="AC27" s="24">
        <v>5610.0020000000004</v>
      </c>
      <c r="AD27" s="24">
        <v>5998.3519999999999</v>
      </c>
      <c r="AE27" s="24">
        <v>6967.509</v>
      </c>
      <c r="AF27" s="24">
        <v>8610.07</v>
      </c>
    </row>
    <row r="28" spans="2:32" ht="18" thickBot="1">
      <c r="B28" s="447"/>
      <c r="C28" s="30" t="s">
        <v>274</v>
      </c>
      <c r="D28" s="24">
        <v>8324.6110000000008</v>
      </c>
      <c r="E28" s="24">
        <v>8394.9009999999998</v>
      </c>
      <c r="F28" s="24">
        <v>7951.1310000000003</v>
      </c>
      <c r="G28" s="31">
        <v>8032.02</v>
      </c>
      <c r="H28" s="32">
        <v>6943.5460000000003</v>
      </c>
      <c r="I28" s="27">
        <v>8372.9410000000007</v>
      </c>
      <c r="K28" s="35" t="s">
        <v>296</v>
      </c>
      <c r="L28" s="24">
        <v>33346.557999999997</v>
      </c>
      <c r="M28" s="24">
        <v>60960.947</v>
      </c>
      <c r="N28" s="24">
        <v>71138.043000000005</v>
      </c>
      <c r="O28" s="24">
        <v>75561.612999999998</v>
      </c>
      <c r="P28" s="24">
        <v>86818.37000000001</v>
      </c>
      <c r="Q28" s="24">
        <v>104930.91</v>
      </c>
      <c r="Z28" s="35" t="s">
        <v>296</v>
      </c>
      <c r="AA28" s="24">
        <v>2519.2139999999999</v>
      </c>
      <c r="AB28" s="24">
        <v>4533.8639999999996</v>
      </c>
      <c r="AC28" s="24">
        <v>5295.098</v>
      </c>
      <c r="AD28" s="24">
        <v>5661.6490000000003</v>
      </c>
      <c r="AE28" s="24">
        <v>6576.4049999999997</v>
      </c>
      <c r="AF28" s="24">
        <v>8126.7640000000001</v>
      </c>
    </row>
    <row r="29" spans="2:32">
      <c r="B29" s="21"/>
      <c r="C29" s="22" t="s">
        <v>261</v>
      </c>
      <c r="D29" s="22" t="s">
        <v>282</v>
      </c>
      <c r="E29" s="22" t="s">
        <v>283</v>
      </c>
      <c r="F29" s="22" t="s">
        <v>284</v>
      </c>
      <c r="G29" s="22" t="s">
        <v>285</v>
      </c>
      <c r="H29" s="22" t="s">
        <v>286</v>
      </c>
      <c r="I29" s="23" t="s">
        <v>287</v>
      </c>
      <c r="K29" s="35" t="s">
        <v>297</v>
      </c>
      <c r="L29" s="24">
        <v>31953.319</v>
      </c>
      <c r="M29" s="24">
        <v>57828.055000000008</v>
      </c>
      <c r="N29" s="24">
        <v>67918.808999999994</v>
      </c>
      <c r="O29" s="24">
        <v>72519.438999999998</v>
      </c>
      <c r="P29" s="24">
        <v>82587.295000000013</v>
      </c>
      <c r="Q29" s="24">
        <v>98253.106999999989</v>
      </c>
      <c r="Z29" s="35" t="s">
        <v>297</v>
      </c>
      <c r="AA29" s="24">
        <v>2339.8359999999998</v>
      </c>
      <c r="AB29" s="24">
        <v>4211.0360000000001</v>
      </c>
      <c r="AC29" s="24">
        <v>4918.067</v>
      </c>
      <c r="AD29" s="24">
        <v>5258.5190000000002</v>
      </c>
      <c r="AE29" s="24">
        <v>6108.14</v>
      </c>
      <c r="AF29" s="24">
        <v>7548.1080000000002</v>
      </c>
    </row>
    <row r="30" spans="2:32">
      <c r="B30" s="446" t="s">
        <v>268</v>
      </c>
      <c r="C30" s="2" t="s">
        <v>269</v>
      </c>
      <c r="D30" s="24">
        <v>29932.373</v>
      </c>
      <c r="E30" s="24">
        <v>32729.907000000003</v>
      </c>
      <c r="F30" s="24">
        <v>32446.471999999998</v>
      </c>
      <c r="G30" s="24">
        <v>31236.984</v>
      </c>
      <c r="H30" s="24">
        <v>37926.455000000002</v>
      </c>
      <c r="I30" s="25">
        <v>43881.055999999997</v>
      </c>
      <c r="K30" s="35" t="s">
        <v>298</v>
      </c>
      <c r="L30" s="24">
        <v>32659.781999999999</v>
      </c>
      <c r="M30" s="24">
        <v>58669.737000000001</v>
      </c>
      <c r="N30" s="24">
        <v>69148.948000000004</v>
      </c>
      <c r="O30" s="24">
        <v>74100.00499999999</v>
      </c>
      <c r="P30" s="24">
        <v>84125.745999999999</v>
      </c>
      <c r="Q30" s="24">
        <v>99570.108000000007</v>
      </c>
      <c r="Z30" s="35" t="s">
        <v>298</v>
      </c>
      <c r="AA30" s="24">
        <v>2473.2629999999999</v>
      </c>
      <c r="AB30" s="24">
        <v>4451.165</v>
      </c>
      <c r="AC30" s="24">
        <v>5198.5140000000001</v>
      </c>
      <c r="AD30" s="24">
        <v>5558.38</v>
      </c>
      <c r="AE30" s="24">
        <v>6456.45</v>
      </c>
      <c r="AF30" s="24">
        <v>7978.5309999999999</v>
      </c>
    </row>
    <row r="31" spans="2:32" ht="18" thickBot="1">
      <c r="B31" s="446"/>
      <c r="C31" s="2" t="s">
        <v>270</v>
      </c>
      <c r="D31" s="24">
        <v>54241.447999999997</v>
      </c>
      <c r="E31" s="24">
        <v>58878.411</v>
      </c>
      <c r="F31" s="24">
        <v>58595.813000000002</v>
      </c>
      <c r="G31" s="24">
        <v>56269.245000000003</v>
      </c>
      <c r="H31" s="24">
        <v>70603.413</v>
      </c>
      <c r="I31" s="25">
        <v>83656.236999999994</v>
      </c>
      <c r="K31" s="35" t="s">
        <v>299</v>
      </c>
      <c r="L31" s="25">
        <v>29622.817999999999</v>
      </c>
      <c r="M31" s="25">
        <v>53303.776000000005</v>
      </c>
      <c r="N31" s="25">
        <v>62769.756000000001</v>
      </c>
      <c r="O31" s="25">
        <v>67208.243000000002</v>
      </c>
      <c r="P31" s="25">
        <v>76371.154999999999</v>
      </c>
      <c r="Q31" s="25">
        <v>90534.529999999984</v>
      </c>
      <c r="Z31" s="35" t="s">
        <v>299</v>
      </c>
      <c r="AA31" s="25">
        <v>2234.2020000000002</v>
      </c>
      <c r="AB31" s="25">
        <v>4020.9250000000002</v>
      </c>
      <c r="AC31" s="25">
        <v>4696.0360000000001</v>
      </c>
      <c r="AD31" s="25">
        <v>5021.1180000000004</v>
      </c>
      <c r="AE31" s="25">
        <v>5832.3819999999996</v>
      </c>
      <c r="AF31" s="27">
        <v>7207.3419999999996</v>
      </c>
    </row>
    <row r="32" spans="2:32">
      <c r="B32" s="446"/>
      <c r="C32" s="2" t="s">
        <v>271</v>
      </c>
      <c r="D32" s="24">
        <v>63646.569999999992</v>
      </c>
      <c r="E32" s="24">
        <v>69335.785999999993</v>
      </c>
      <c r="F32" s="24">
        <v>68909.430999999997</v>
      </c>
      <c r="G32" s="24">
        <v>66256.546000000002</v>
      </c>
      <c r="H32" s="24">
        <v>81729.350999999995</v>
      </c>
      <c r="I32" s="25">
        <v>95513.447</v>
      </c>
      <c r="K32" s="35" t="s">
        <v>300</v>
      </c>
      <c r="L32" s="24">
        <v>33002.718000000001</v>
      </c>
      <c r="M32" s="24">
        <v>59775.084999999999</v>
      </c>
      <c r="N32" s="24">
        <v>70161.224000000002</v>
      </c>
      <c r="O32" s="24">
        <v>74881.291000000012</v>
      </c>
      <c r="P32" s="24">
        <v>85364.394</v>
      </c>
      <c r="Q32" s="24">
        <v>101748.897</v>
      </c>
      <c r="Z32" s="35" t="s">
        <v>300</v>
      </c>
      <c r="AA32" s="24">
        <v>2435.8020000000001</v>
      </c>
      <c r="AB32" s="24">
        <v>4383.7449999999999</v>
      </c>
      <c r="AC32" s="24">
        <v>5119.7749999999996</v>
      </c>
      <c r="AD32" s="24">
        <v>5474.1890000000003</v>
      </c>
      <c r="AE32" s="24">
        <v>6358.6570000000002</v>
      </c>
      <c r="AF32" s="24">
        <v>7857.683</v>
      </c>
    </row>
    <row r="33" spans="2:32">
      <c r="B33" s="446"/>
      <c r="C33" s="2" t="s">
        <v>272</v>
      </c>
      <c r="D33" s="24">
        <v>67910.900000000009</v>
      </c>
      <c r="E33" s="24">
        <v>74247.271999999997</v>
      </c>
      <c r="F33" s="24">
        <v>73656.852999999988</v>
      </c>
      <c r="G33" s="24">
        <v>70909.079000000012</v>
      </c>
      <c r="H33" s="24">
        <v>86044.930999999997</v>
      </c>
      <c r="I33" s="25">
        <v>99320.627999999997</v>
      </c>
      <c r="K33" s="35" t="s">
        <v>301</v>
      </c>
      <c r="L33" s="24">
        <v>33539.35</v>
      </c>
      <c r="M33" s="24">
        <v>61516.842000000004</v>
      </c>
      <c r="N33" s="24">
        <v>71558.025999999983</v>
      </c>
      <c r="O33" s="24">
        <v>75862.84599999999</v>
      </c>
      <c r="P33" s="24">
        <v>87673.563999999998</v>
      </c>
      <c r="Q33" s="24">
        <v>107088.87400000001</v>
      </c>
      <c r="Z33" s="35" t="s">
        <v>301</v>
      </c>
      <c r="AA33" s="24">
        <v>2680.4630000000002</v>
      </c>
      <c r="AB33" s="24">
        <v>4824.067</v>
      </c>
      <c r="AC33" s="24">
        <v>5634.0259999999998</v>
      </c>
      <c r="AD33" s="24">
        <v>6024.0389999999998</v>
      </c>
      <c r="AE33" s="24">
        <v>6997.3459999999995</v>
      </c>
      <c r="AF33" s="24">
        <v>8646.9410000000007</v>
      </c>
    </row>
    <row r="34" spans="2:32">
      <c r="B34" s="446"/>
      <c r="C34" s="2" t="s">
        <v>273</v>
      </c>
      <c r="D34" s="24">
        <v>77448.852000000014</v>
      </c>
      <c r="E34" s="24">
        <v>84385.12000000001</v>
      </c>
      <c r="F34" s="24">
        <v>83742.695000000007</v>
      </c>
      <c r="G34" s="24">
        <v>80519.554000000004</v>
      </c>
      <c r="H34" s="24">
        <v>99518.285000000003</v>
      </c>
      <c r="I34" s="25">
        <v>116942.05899999999</v>
      </c>
      <c r="K34" s="35" t="s">
        <v>302</v>
      </c>
      <c r="L34" s="24">
        <v>35168.684000000001</v>
      </c>
      <c r="M34" s="24">
        <v>65140.209000000003</v>
      </c>
      <c r="N34" s="24">
        <v>75486.831999999995</v>
      </c>
      <c r="O34" s="24">
        <v>79653.282000000007</v>
      </c>
      <c r="P34" s="24">
        <v>92242.239000000001</v>
      </c>
      <c r="Q34" s="24">
        <v>112965.91100000001</v>
      </c>
      <c r="Z34" s="35" t="s">
        <v>302</v>
      </c>
      <c r="AA34" s="24">
        <v>2600.848</v>
      </c>
      <c r="AB34" s="24">
        <v>4680.7820000000002</v>
      </c>
      <c r="AC34" s="24">
        <v>5466.683</v>
      </c>
      <c r="AD34" s="24">
        <v>5845.1130000000003</v>
      </c>
      <c r="AE34" s="24">
        <v>6789.51</v>
      </c>
      <c r="AF34" s="24">
        <v>8390.1080000000002</v>
      </c>
    </row>
    <row r="35" spans="2:32">
      <c r="B35" s="446"/>
      <c r="C35" s="2" t="s">
        <v>274</v>
      </c>
      <c r="D35" s="24">
        <v>92379.112000000008</v>
      </c>
      <c r="E35" s="24">
        <v>100073.481</v>
      </c>
      <c r="F35" s="24">
        <v>99330.159</v>
      </c>
      <c r="G35" s="24">
        <v>95307.547999999995</v>
      </c>
      <c r="H35" s="24">
        <v>121516.66100000001</v>
      </c>
      <c r="I35" s="25">
        <v>147098.11199999999</v>
      </c>
      <c r="K35" s="35" t="s">
        <v>303</v>
      </c>
      <c r="L35" s="24">
        <v>38088.661</v>
      </c>
      <c r="M35" s="24">
        <v>70224.582000000009</v>
      </c>
      <c r="N35" s="24">
        <v>81510.785999999993</v>
      </c>
      <c r="O35" s="24">
        <v>86197.504000000015</v>
      </c>
      <c r="P35" s="24">
        <v>99766.338000000003</v>
      </c>
      <c r="Q35" s="24">
        <v>122124.005</v>
      </c>
      <c r="Z35" s="35" t="s">
        <v>303</v>
      </c>
      <c r="AA35" s="24">
        <v>2943.6120000000001</v>
      </c>
      <c r="AB35" s="24">
        <v>5297.6580000000004</v>
      </c>
      <c r="AC35" s="24">
        <v>6187.1329999999998</v>
      </c>
      <c r="AD35" s="24">
        <v>6615.4350000000004</v>
      </c>
      <c r="AE35" s="24">
        <v>7684.2939999999999</v>
      </c>
      <c r="AF35" s="24">
        <v>9495.8340000000007</v>
      </c>
    </row>
    <row r="36" spans="2:32">
      <c r="B36" s="446" t="s">
        <v>275</v>
      </c>
      <c r="C36" s="2" t="s">
        <v>269</v>
      </c>
      <c r="D36" s="24">
        <v>2210.893</v>
      </c>
      <c r="E36" s="24">
        <v>2483.596</v>
      </c>
      <c r="F36" s="24">
        <v>2368.0309999999999</v>
      </c>
      <c r="G36" s="24">
        <v>2299.7489999999998</v>
      </c>
      <c r="H36" s="24">
        <v>2577.6390000000001</v>
      </c>
      <c r="I36" s="25">
        <v>3038.8429999999998</v>
      </c>
      <c r="K36" s="35" t="s">
        <v>304</v>
      </c>
      <c r="L36" s="24">
        <v>35621.29</v>
      </c>
      <c r="M36" s="24">
        <v>65309.850999999995</v>
      </c>
      <c r="N36" s="24">
        <v>76054.99500000001</v>
      </c>
      <c r="O36" s="24">
        <v>80658.734000000011</v>
      </c>
      <c r="P36" s="24">
        <v>92966.741000000009</v>
      </c>
      <c r="Q36" s="24">
        <v>112991.37699999999</v>
      </c>
      <c r="Z36" s="35" t="s">
        <v>304</v>
      </c>
      <c r="AA36" s="24">
        <v>2740.3</v>
      </c>
      <c r="AB36" s="24">
        <v>4931.7550000000001</v>
      </c>
      <c r="AC36" s="24">
        <v>5759.7950000000001</v>
      </c>
      <c r="AD36" s="24">
        <v>6158.5150000000003</v>
      </c>
      <c r="AE36" s="24">
        <v>7153.549</v>
      </c>
      <c r="AF36" s="24">
        <v>8839.9670000000006</v>
      </c>
    </row>
    <row r="37" spans="2:32" ht="18" thickBot="1">
      <c r="B37" s="446"/>
      <c r="C37" s="2" t="s">
        <v>270</v>
      </c>
      <c r="D37" s="24">
        <v>3978.9740000000002</v>
      </c>
      <c r="E37" s="24">
        <v>4469.7619999999997</v>
      </c>
      <c r="F37" s="24">
        <v>4261.7780000000002</v>
      </c>
      <c r="G37" s="24">
        <v>4138.8900000000003</v>
      </c>
      <c r="H37" s="24">
        <v>4639.0119999999997</v>
      </c>
      <c r="I37" s="25">
        <v>5469.0469999999996</v>
      </c>
      <c r="K37" s="35" t="s">
        <v>305</v>
      </c>
      <c r="L37" s="25">
        <v>35793.853999999999</v>
      </c>
      <c r="M37" s="25">
        <v>65173.898999999998</v>
      </c>
      <c r="N37" s="25">
        <v>76229.070000000007</v>
      </c>
      <c r="O37" s="25">
        <v>81133.663</v>
      </c>
      <c r="P37" s="25">
        <v>92957.834999999992</v>
      </c>
      <c r="Q37" s="25">
        <v>111803.63599999998</v>
      </c>
      <c r="Z37" s="35" t="s">
        <v>305</v>
      </c>
      <c r="AA37" s="25">
        <v>2702.087</v>
      </c>
      <c r="AB37" s="25">
        <v>4862.982</v>
      </c>
      <c r="AC37" s="25">
        <v>5679.4750000000004</v>
      </c>
      <c r="AD37" s="25">
        <v>6072.6350000000002</v>
      </c>
      <c r="AE37" s="25">
        <v>7053.7939999999999</v>
      </c>
      <c r="AF37" s="27">
        <v>8716.6959999999999</v>
      </c>
    </row>
    <row r="38" spans="2:32">
      <c r="B38" s="446"/>
      <c r="C38" s="2" t="s">
        <v>271</v>
      </c>
      <c r="D38" s="24">
        <v>4647.0420000000004</v>
      </c>
      <c r="E38" s="24">
        <v>5220.2340000000004</v>
      </c>
      <c r="F38" s="24">
        <v>4977.3289999999997</v>
      </c>
      <c r="G38" s="24">
        <v>4833.808</v>
      </c>
      <c r="H38" s="24">
        <v>5417.9</v>
      </c>
      <c r="I38" s="25">
        <v>6387.2979999999998</v>
      </c>
      <c r="K38" s="35" t="s">
        <v>306</v>
      </c>
      <c r="L38" s="24">
        <v>35172.391000000003</v>
      </c>
      <c r="M38" s="24">
        <v>64821.420999999995</v>
      </c>
      <c r="N38" s="24">
        <v>75311.763999999996</v>
      </c>
      <c r="O38" s="24">
        <v>79668.695000000007</v>
      </c>
      <c r="P38" s="24">
        <v>92001.737000000008</v>
      </c>
      <c r="Q38" s="24">
        <v>112151.18600000002</v>
      </c>
      <c r="Z38" s="35" t="s">
        <v>306</v>
      </c>
      <c r="AA38" s="24">
        <v>2631.7429999999999</v>
      </c>
      <c r="AB38" s="24">
        <v>4736.3829999999998</v>
      </c>
      <c r="AC38" s="24">
        <v>5531.62</v>
      </c>
      <c r="AD38" s="24">
        <v>5914.5450000000001</v>
      </c>
      <c r="AE38" s="24">
        <v>6870.16</v>
      </c>
      <c r="AF38" s="24">
        <v>8489.7720000000008</v>
      </c>
    </row>
    <row r="39" spans="2:32">
      <c r="B39" s="446"/>
      <c r="C39" s="2" t="s">
        <v>272</v>
      </c>
      <c r="D39" s="24">
        <v>4968.732</v>
      </c>
      <c r="E39" s="24">
        <v>5581.6019999999999</v>
      </c>
      <c r="F39" s="24">
        <v>5321.8819999999996</v>
      </c>
      <c r="G39" s="24">
        <v>5168.4269999999997</v>
      </c>
      <c r="H39" s="24">
        <v>5792.9530000000004</v>
      </c>
      <c r="I39" s="25">
        <v>6829.4560000000001</v>
      </c>
      <c r="K39" s="35" t="s">
        <v>307</v>
      </c>
      <c r="L39" s="24">
        <v>37255.398000000001</v>
      </c>
      <c r="M39" s="24">
        <v>68320.679999999993</v>
      </c>
      <c r="N39" s="24">
        <v>79532.683000000005</v>
      </c>
      <c r="O39" s="24">
        <v>84334.247000000003</v>
      </c>
      <c r="P39" s="24">
        <v>97279.454000000012</v>
      </c>
      <c r="Q39" s="24">
        <v>118404.345</v>
      </c>
      <c r="Z39" s="35" t="s">
        <v>307</v>
      </c>
      <c r="AA39" s="24">
        <v>2895.3710000000001</v>
      </c>
      <c r="AB39" s="24">
        <v>5210.8389999999999</v>
      </c>
      <c r="AC39" s="24">
        <v>6085.7370000000001</v>
      </c>
      <c r="AD39" s="24">
        <v>6507.02</v>
      </c>
      <c r="AE39" s="24">
        <v>7558.3630000000003</v>
      </c>
      <c r="AF39" s="24">
        <v>9340.2150000000001</v>
      </c>
    </row>
    <row r="40" spans="2:32">
      <c r="B40" s="446"/>
      <c r="C40" s="2" t="s">
        <v>273</v>
      </c>
      <c r="D40" s="24">
        <v>5771.5320000000002</v>
      </c>
      <c r="E40" s="24">
        <v>6483.4250000000002</v>
      </c>
      <c r="F40" s="24">
        <v>6181.7420000000002</v>
      </c>
      <c r="G40" s="24">
        <v>6003.4920000000002</v>
      </c>
      <c r="H40" s="24">
        <v>6728.9229999999998</v>
      </c>
      <c r="I40" s="25">
        <v>7932.8950000000004</v>
      </c>
      <c r="K40" s="35" t="s">
        <v>308</v>
      </c>
      <c r="L40" s="24">
        <v>34390.576000000001</v>
      </c>
      <c r="M40" s="24">
        <v>62675.118000000002</v>
      </c>
      <c r="N40" s="24">
        <v>73216.521999999997</v>
      </c>
      <c r="O40" s="24">
        <v>77882.481</v>
      </c>
      <c r="P40" s="24">
        <v>89460.481</v>
      </c>
      <c r="Q40" s="24">
        <v>108108.6</v>
      </c>
      <c r="Z40" s="35" t="s">
        <v>308</v>
      </c>
      <c r="AA40" s="24">
        <v>2678.2</v>
      </c>
      <c r="AB40" s="24">
        <v>4819.9939999999997</v>
      </c>
      <c r="AC40" s="24">
        <v>5629.2690000000002</v>
      </c>
      <c r="AD40" s="24">
        <v>6018.9530000000004</v>
      </c>
      <c r="AE40" s="24">
        <v>6991.4380000000001</v>
      </c>
      <c r="AF40" s="24">
        <v>8639.64</v>
      </c>
    </row>
    <row r="41" spans="2:32" ht="18" thickBot="1">
      <c r="B41" s="447"/>
      <c r="C41" s="30" t="s">
        <v>274</v>
      </c>
      <c r="D41" s="24">
        <v>7132.1469999999999</v>
      </c>
      <c r="E41" s="24">
        <v>8011.8639999999996</v>
      </c>
      <c r="F41" s="24">
        <v>7639.0609999999997</v>
      </c>
      <c r="G41" s="24">
        <v>7418.79</v>
      </c>
      <c r="H41" s="24">
        <v>8315.2379999999994</v>
      </c>
      <c r="I41" s="27">
        <v>9803.0409999999993</v>
      </c>
      <c r="K41" s="35" t="s">
        <v>309</v>
      </c>
      <c r="L41" s="29">
        <v>34358.140999999996</v>
      </c>
      <c r="M41" s="29">
        <v>62805.036999999997</v>
      </c>
      <c r="N41" s="29">
        <v>73284.800999999992</v>
      </c>
      <c r="O41" s="29">
        <v>77843.543000000005</v>
      </c>
      <c r="P41" s="29">
        <v>89463.532000000007</v>
      </c>
      <c r="Q41" s="29">
        <v>108182.26500000001</v>
      </c>
      <c r="Z41" s="35" t="s">
        <v>309</v>
      </c>
      <c r="AA41" s="29">
        <v>2609.1709999999998</v>
      </c>
      <c r="AB41" s="29">
        <v>4695.7610000000004</v>
      </c>
      <c r="AC41" s="29">
        <v>5484.1779999999999</v>
      </c>
      <c r="AD41" s="29">
        <v>5863.8180000000002</v>
      </c>
      <c r="AE41" s="29">
        <v>6811.2380000000003</v>
      </c>
      <c r="AF41" s="31">
        <v>8416.9590000000007</v>
      </c>
    </row>
    <row r="42" spans="2:32" ht="18" thickBot="1">
      <c r="B42" s="21"/>
      <c r="C42" s="22" t="s">
        <v>261</v>
      </c>
      <c r="D42" s="22" t="s">
        <v>288</v>
      </c>
      <c r="E42" s="28" t="s">
        <v>289</v>
      </c>
      <c r="F42" s="22" t="s">
        <v>290</v>
      </c>
      <c r="G42" s="22" t="s">
        <v>291</v>
      </c>
      <c r="H42" s="22" t="s">
        <v>292</v>
      </c>
      <c r="I42" s="23" t="s">
        <v>293</v>
      </c>
      <c r="K42" s="35" t="s">
        <v>310</v>
      </c>
      <c r="L42" s="24">
        <v>34013.857000000004</v>
      </c>
      <c r="M42" s="24">
        <v>61666.661</v>
      </c>
      <c r="N42" s="24">
        <v>72329.428</v>
      </c>
      <c r="O42" s="24">
        <v>77155.311000000002</v>
      </c>
      <c r="P42" s="24">
        <v>88054.629000000001</v>
      </c>
      <c r="Q42" s="24">
        <v>105168.992</v>
      </c>
      <c r="Z42" s="35" t="s">
        <v>310</v>
      </c>
      <c r="AA42" s="24">
        <v>2528.8130000000001</v>
      </c>
      <c r="AB42" s="24">
        <v>4551.1390000000001</v>
      </c>
      <c r="AC42" s="24">
        <v>5315.2740000000003</v>
      </c>
      <c r="AD42" s="24">
        <v>5683.2219999999998</v>
      </c>
      <c r="AE42" s="24">
        <v>6601.4629999999997</v>
      </c>
      <c r="AF42" s="32">
        <v>8157.73</v>
      </c>
    </row>
    <row r="43" spans="2:32" ht="18" thickBot="1">
      <c r="B43" s="446" t="s">
        <v>268</v>
      </c>
      <c r="C43" s="2" t="s">
        <v>269</v>
      </c>
      <c r="D43" s="24">
        <v>41513.255000000005</v>
      </c>
      <c r="E43" s="29">
        <v>42731.803</v>
      </c>
      <c r="F43" s="24">
        <v>33667.457000000002</v>
      </c>
      <c r="G43" s="24">
        <v>35683.822</v>
      </c>
      <c r="H43" s="24">
        <v>38242.108999999997</v>
      </c>
      <c r="I43" s="25">
        <v>34760.043000000005</v>
      </c>
      <c r="K43" s="35" t="s">
        <v>311</v>
      </c>
      <c r="L43" s="25">
        <v>30267.618000000002</v>
      </c>
      <c r="M43" s="25">
        <v>55389.170000000006</v>
      </c>
      <c r="N43" s="25">
        <v>64705.62</v>
      </c>
      <c r="O43" s="25">
        <v>68712.575000000012</v>
      </c>
      <c r="P43" s="25">
        <v>78652.238999999987</v>
      </c>
      <c r="Q43" s="25">
        <v>94369.107999999993</v>
      </c>
      <c r="Z43" s="35" t="s">
        <v>311</v>
      </c>
      <c r="AA43" s="25">
        <v>2118.1869999999999</v>
      </c>
      <c r="AB43" s="25">
        <v>3812.13</v>
      </c>
      <c r="AC43" s="25">
        <v>4452.1859999999997</v>
      </c>
      <c r="AD43" s="25">
        <v>4760.3869999999997</v>
      </c>
      <c r="AE43" s="25">
        <v>5529.5249999999996</v>
      </c>
      <c r="AF43" s="27">
        <v>6833.0860000000002</v>
      </c>
    </row>
    <row r="44" spans="2:32" ht="18" thickBot="1">
      <c r="B44" s="446"/>
      <c r="C44" s="2" t="s">
        <v>270</v>
      </c>
      <c r="D44" s="24">
        <v>77822.414000000004</v>
      </c>
      <c r="E44" s="29">
        <v>79565.134999999995</v>
      </c>
      <c r="F44" s="24">
        <v>62841.846000000005</v>
      </c>
      <c r="G44" s="24">
        <v>67553.846999999994</v>
      </c>
      <c r="H44" s="24">
        <v>69883.406000000003</v>
      </c>
      <c r="I44" s="25">
        <v>63038.834000000003</v>
      </c>
      <c r="K44" s="35" t="s">
        <v>312</v>
      </c>
      <c r="L44" s="24">
        <v>30669.917999999998</v>
      </c>
      <c r="M44" s="24">
        <v>55549.228999999999</v>
      </c>
      <c r="N44" s="24">
        <v>65236.519</v>
      </c>
      <c r="O44" s="24">
        <v>69631.805000000008</v>
      </c>
      <c r="P44" s="24">
        <v>79264.722000000009</v>
      </c>
      <c r="Q44" s="24">
        <v>94212.236999999994</v>
      </c>
      <c r="Z44" s="35" t="s">
        <v>312</v>
      </c>
      <c r="AA44" s="24">
        <v>2208.7649999999999</v>
      </c>
      <c r="AB44" s="24">
        <v>3975.1439999999998</v>
      </c>
      <c r="AC44" s="24">
        <v>4642.57</v>
      </c>
      <c r="AD44" s="24">
        <v>4963.95</v>
      </c>
      <c r="AE44" s="24">
        <v>5765.9780000000001</v>
      </c>
      <c r="AF44" s="32">
        <v>7125.2830000000004</v>
      </c>
    </row>
    <row r="45" spans="2:32" ht="18" thickBot="1">
      <c r="B45" s="446"/>
      <c r="C45" s="2" t="s">
        <v>271</v>
      </c>
      <c r="D45" s="24">
        <v>89607.297999999995</v>
      </c>
      <c r="E45" s="29">
        <v>91939.520000000004</v>
      </c>
      <c r="F45" s="24">
        <v>72528.678</v>
      </c>
      <c r="G45" s="24">
        <v>77509.994000000006</v>
      </c>
      <c r="H45" s="24">
        <v>81603.478999999992</v>
      </c>
      <c r="I45" s="25">
        <v>73966.225999999995</v>
      </c>
      <c r="K45" s="35" t="s">
        <v>313</v>
      </c>
      <c r="L45" s="24">
        <v>33942.714999999997</v>
      </c>
      <c r="M45" s="24">
        <v>62162.509999999995</v>
      </c>
      <c r="N45" s="24">
        <v>72549.881000000008</v>
      </c>
      <c r="O45" s="24">
        <v>77005.881999999998</v>
      </c>
      <c r="P45" s="24">
        <v>88312.258999999991</v>
      </c>
      <c r="Q45" s="24">
        <v>106333.78699999998</v>
      </c>
      <c r="Z45" s="35" t="s">
        <v>313</v>
      </c>
      <c r="AA45" s="24">
        <v>2432.5160000000001</v>
      </c>
      <c r="AB45" s="24">
        <v>4377.8320000000003</v>
      </c>
      <c r="AC45" s="24">
        <v>5112.8689999999997</v>
      </c>
      <c r="AD45" s="24">
        <v>5466.8050000000003</v>
      </c>
      <c r="AE45" s="24">
        <v>6350.08</v>
      </c>
      <c r="AF45" s="32">
        <v>7847.0839999999998</v>
      </c>
    </row>
    <row r="46" spans="2:32" ht="18" thickBot="1">
      <c r="B46" s="446"/>
      <c r="C46" s="2" t="s">
        <v>272</v>
      </c>
      <c r="D46" s="24">
        <v>93977.024000000005</v>
      </c>
      <c r="E46" s="29">
        <v>96755.257000000012</v>
      </c>
      <c r="F46" s="24">
        <v>76234.04800000001</v>
      </c>
      <c r="G46" s="24">
        <v>80908.802000000011</v>
      </c>
      <c r="H46" s="24">
        <v>86701.222000000009</v>
      </c>
      <c r="I46" s="25">
        <v>78896.161000000007</v>
      </c>
      <c r="K46" s="35" t="s">
        <v>314</v>
      </c>
      <c r="L46" s="24">
        <v>30467.851999999999</v>
      </c>
      <c r="M46" s="24">
        <v>55336.99</v>
      </c>
      <c r="N46" s="24">
        <v>64912.925999999999</v>
      </c>
      <c r="O46" s="24">
        <v>69194.238999999987</v>
      </c>
      <c r="P46" s="24">
        <v>78823.715000000011</v>
      </c>
      <c r="Q46" s="24">
        <v>93788.15400000001</v>
      </c>
      <c r="Z46" s="35" t="s">
        <v>314</v>
      </c>
      <c r="AA46" s="24">
        <v>2148.6970000000001</v>
      </c>
      <c r="AB46" s="24">
        <v>3867.04</v>
      </c>
      <c r="AC46" s="24">
        <v>4516.3140000000003</v>
      </c>
      <c r="AD46" s="24">
        <v>4828.9549999999999</v>
      </c>
      <c r="AE46" s="24">
        <v>5609.1710000000003</v>
      </c>
      <c r="AF46" s="32">
        <v>6931.509</v>
      </c>
    </row>
    <row r="47" spans="2:32" ht="18" thickBot="1">
      <c r="B47" s="446"/>
      <c r="C47" s="2" t="s">
        <v>273</v>
      </c>
      <c r="D47" s="24">
        <v>109637.073</v>
      </c>
      <c r="E47" s="29">
        <v>112427.28599999999</v>
      </c>
      <c r="F47" s="24">
        <v>88688.467999999993</v>
      </c>
      <c r="G47" s="24">
        <v>94534.178</v>
      </c>
      <c r="H47" s="24">
        <v>99474.099000000002</v>
      </c>
      <c r="I47" s="25">
        <v>89928.145000000004</v>
      </c>
      <c r="K47" s="35" t="s">
        <v>315</v>
      </c>
      <c r="L47" s="24">
        <v>31934.659000000003</v>
      </c>
      <c r="M47" s="24">
        <v>58218.133000000002</v>
      </c>
      <c r="N47" s="24">
        <v>68081.671000000002</v>
      </c>
      <c r="O47" s="24">
        <v>72423.53899999999</v>
      </c>
      <c r="P47" s="24">
        <v>82931.546999999991</v>
      </c>
      <c r="Q47" s="24">
        <v>99622.402000000002</v>
      </c>
      <c r="Z47" s="35" t="s">
        <v>315</v>
      </c>
      <c r="AA47" s="24">
        <v>2354.8180000000002</v>
      </c>
      <c r="AB47" s="24">
        <v>4237.9989999999998</v>
      </c>
      <c r="AC47" s="24">
        <v>4949.558</v>
      </c>
      <c r="AD47" s="24">
        <v>5292.1890000000003</v>
      </c>
      <c r="AE47" s="24">
        <v>6147.25</v>
      </c>
      <c r="AF47" s="32">
        <v>7596.4390000000003</v>
      </c>
    </row>
    <row r="48" spans="2:32" ht="18" thickBot="1">
      <c r="B48" s="446"/>
      <c r="C48" s="2" t="s">
        <v>274</v>
      </c>
      <c r="D48" s="24">
        <v>135911.84399999998</v>
      </c>
      <c r="E48" s="29">
        <v>138464.27900000001</v>
      </c>
      <c r="F48" s="24">
        <v>109436.83200000001</v>
      </c>
      <c r="G48" s="24">
        <v>117375.967</v>
      </c>
      <c r="H48" s="24">
        <v>119903.90400000001</v>
      </c>
      <c r="I48" s="25">
        <v>107141.27500000001</v>
      </c>
      <c r="K48" s="35" t="s">
        <v>316</v>
      </c>
      <c r="L48" s="24">
        <v>30430.047999999999</v>
      </c>
      <c r="M48" s="24">
        <v>55532.19</v>
      </c>
      <c r="N48" s="24">
        <v>64894.660999999993</v>
      </c>
      <c r="O48" s="24">
        <v>68995.972999999998</v>
      </c>
      <c r="P48" s="24">
        <v>79089.120999999999</v>
      </c>
      <c r="Q48" s="24">
        <v>95184.407999999996</v>
      </c>
      <c r="Z48" s="35" t="s">
        <v>316</v>
      </c>
      <c r="AA48" s="24">
        <v>2256.2930000000001</v>
      </c>
      <c r="AB48" s="24">
        <v>4060.681</v>
      </c>
      <c r="AC48" s="24">
        <v>4742.4679999999998</v>
      </c>
      <c r="AD48" s="24">
        <v>5070.7640000000001</v>
      </c>
      <c r="AE48" s="24">
        <v>5890.05</v>
      </c>
      <c r="AF48" s="32">
        <v>7278.6040000000003</v>
      </c>
    </row>
    <row r="49" spans="2:32" ht="18" thickBot="1">
      <c r="B49" s="446" t="s">
        <v>275</v>
      </c>
      <c r="C49" s="2" t="s">
        <v>269</v>
      </c>
      <c r="D49" s="24">
        <v>3015.201</v>
      </c>
      <c r="E49" s="29">
        <v>3144.7170000000001</v>
      </c>
      <c r="F49" s="24">
        <v>2455.502</v>
      </c>
      <c r="G49" s="24">
        <v>2349.5540000000001</v>
      </c>
      <c r="H49" s="24">
        <v>2833.473</v>
      </c>
      <c r="I49" s="25">
        <v>2520.9270000000001</v>
      </c>
      <c r="K49" s="35" t="s">
        <v>317</v>
      </c>
      <c r="L49" s="25">
        <v>27503.754999999997</v>
      </c>
      <c r="M49" s="25">
        <v>50093.133000000002</v>
      </c>
      <c r="N49" s="25">
        <v>58576.201000000001</v>
      </c>
      <c r="O49" s="25">
        <v>62335.346999999994</v>
      </c>
      <c r="P49" s="25">
        <v>71449.205000000002</v>
      </c>
      <c r="Q49" s="25">
        <v>85998.853999999992</v>
      </c>
      <c r="Z49" s="35" t="s">
        <v>317</v>
      </c>
      <c r="AA49" s="25">
        <v>2083.6489999999999</v>
      </c>
      <c r="AB49" s="25">
        <v>3749.971</v>
      </c>
      <c r="AC49" s="25">
        <v>4379.59</v>
      </c>
      <c r="AD49" s="25">
        <v>4682.7650000000003</v>
      </c>
      <c r="AE49" s="25">
        <v>5439.3620000000001</v>
      </c>
      <c r="AF49" s="27">
        <v>6721.6679999999997</v>
      </c>
    </row>
    <row r="50" spans="2:32" ht="18" thickBot="1">
      <c r="B50" s="446"/>
      <c r="C50" s="2" t="s">
        <v>270</v>
      </c>
      <c r="D50" s="24">
        <v>5426.4979999999996</v>
      </c>
      <c r="E50" s="29">
        <v>5659.59</v>
      </c>
      <c r="F50" s="24">
        <v>4419.201</v>
      </c>
      <c r="G50" s="24">
        <v>4228.5240000000003</v>
      </c>
      <c r="H50" s="24">
        <v>5099.4399999999996</v>
      </c>
      <c r="I50" s="25">
        <v>4536.9459999999999</v>
      </c>
      <c r="K50" s="35" t="s">
        <v>318</v>
      </c>
      <c r="L50" s="24">
        <v>29617.946</v>
      </c>
      <c r="M50" s="24">
        <v>53609.873999999996</v>
      </c>
      <c r="N50" s="24">
        <v>62967.327000000005</v>
      </c>
      <c r="O50" s="24">
        <v>67228.755999999994</v>
      </c>
      <c r="P50" s="24">
        <v>76542.957000000009</v>
      </c>
      <c r="Q50" s="24">
        <v>91016.267999999996</v>
      </c>
      <c r="Z50" s="35" t="s">
        <v>318</v>
      </c>
      <c r="AA50" s="24">
        <v>2155.723</v>
      </c>
      <c r="AB50" s="24">
        <v>3879.6840000000002</v>
      </c>
      <c r="AC50" s="24">
        <v>4531.0810000000001</v>
      </c>
      <c r="AD50" s="24">
        <v>4844.7439999999997</v>
      </c>
      <c r="AE50" s="24">
        <v>5627.5119999999997</v>
      </c>
      <c r="AF50" s="32">
        <v>6954.174</v>
      </c>
    </row>
    <row r="51" spans="2:32" ht="18" thickBot="1">
      <c r="B51" s="446"/>
      <c r="C51" s="2" t="s">
        <v>271</v>
      </c>
      <c r="D51" s="24">
        <v>6337.6049999999996</v>
      </c>
      <c r="E51" s="29">
        <v>6609.8329999999996</v>
      </c>
      <c r="F51" s="24">
        <v>5161.183</v>
      </c>
      <c r="G51" s="24">
        <v>4938.491</v>
      </c>
      <c r="H51" s="24">
        <v>5955.634</v>
      </c>
      <c r="I51" s="25">
        <v>5298.6980000000003</v>
      </c>
      <c r="K51" s="35" t="s">
        <v>319</v>
      </c>
      <c r="L51" s="25">
        <v>30555.634000000002</v>
      </c>
      <c r="M51" s="25">
        <v>55315.24</v>
      </c>
      <c r="N51" s="25">
        <v>64818.554999999993</v>
      </c>
      <c r="O51" s="25">
        <v>69174.707999999999</v>
      </c>
      <c r="P51" s="25">
        <v>79246.266000000003</v>
      </c>
      <c r="Q51" s="25">
        <v>95356.637999999992</v>
      </c>
      <c r="Z51" s="35" t="s">
        <v>319</v>
      </c>
      <c r="AA51" s="25">
        <v>2453.663</v>
      </c>
      <c r="AB51" s="25">
        <v>4415.8900000000003</v>
      </c>
      <c r="AC51" s="25">
        <v>5157.317</v>
      </c>
      <c r="AD51" s="25">
        <v>5514.3310000000001</v>
      </c>
      <c r="AE51" s="25">
        <v>6405.2839999999997</v>
      </c>
      <c r="AF51" s="27">
        <v>7915.3019999999997</v>
      </c>
    </row>
    <row r="52" spans="2:32">
      <c r="B52" s="446"/>
      <c r="C52" s="2" t="s">
        <v>272</v>
      </c>
      <c r="D52" s="24">
        <v>6776.3239999999996</v>
      </c>
      <c r="E52" s="29">
        <v>7067.3969999999999</v>
      </c>
      <c r="F52" s="24">
        <v>5518.4639999999999</v>
      </c>
      <c r="G52" s="24">
        <v>5280.357</v>
      </c>
      <c r="H52" s="24">
        <v>6367.9110000000001</v>
      </c>
      <c r="I52" s="25">
        <v>5665.4979999999996</v>
      </c>
    </row>
    <row r="53" spans="2:32">
      <c r="B53" s="446"/>
      <c r="C53" s="2" t="s">
        <v>273</v>
      </c>
      <c r="D53" s="24">
        <v>7871.1779999999999</v>
      </c>
      <c r="E53" s="29">
        <v>8209.2790000000005</v>
      </c>
      <c r="F53" s="24">
        <v>6410.085</v>
      </c>
      <c r="G53" s="24">
        <v>6133.5060000000003</v>
      </c>
      <c r="H53" s="24">
        <v>7396.777</v>
      </c>
      <c r="I53" s="25">
        <v>6580.8760000000002</v>
      </c>
    </row>
    <row r="54" spans="2:32" ht="18" thickBot="1">
      <c r="B54" s="447"/>
      <c r="C54" s="30" t="s">
        <v>274</v>
      </c>
      <c r="D54" s="24">
        <v>9726.7749999999996</v>
      </c>
      <c r="E54" s="31">
        <v>10144.582</v>
      </c>
      <c r="F54" s="32">
        <v>7921.2359999999999</v>
      </c>
      <c r="G54" s="32">
        <v>7579.4549999999999</v>
      </c>
      <c r="H54" s="32">
        <v>9140.5360000000001</v>
      </c>
      <c r="I54" s="27">
        <v>8132.2889999999998</v>
      </c>
    </row>
    <row r="55" spans="2:32">
      <c r="B55" s="21"/>
      <c r="C55" s="22" t="s">
        <v>261</v>
      </c>
      <c r="D55" s="22" t="s">
        <v>294</v>
      </c>
      <c r="E55" s="22" t="s">
        <v>295</v>
      </c>
      <c r="F55" s="22" t="s">
        <v>296</v>
      </c>
      <c r="G55" s="22" t="s">
        <v>297</v>
      </c>
      <c r="H55" s="22" t="s">
        <v>298</v>
      </c>
      <c r="I55" s="23" t="s">
        <v>299</v>
      </c>
    </row>
    <row r="56" spans="2:32">
      <c r="B56" s="446" t="s">
        <v>268</v>
      </c>
      <c r="C56" s="2" t="s">
        <v>269</v>
      </c>
      <c r="D56" s="24">
        <v>33423.889000000003</v>
      </c>
      <c r="E56" s="24">
        <v>35551.803</v>
      </c>
      <c r="F56" s="24">
        <v>33346.557999999997</v>
      </c>
      <c r="G56" s="24">
        <v>31953.319</v>
      </c>
      <c r="H56" s="24">
        <v>32659.781999999999</v>
      </c>
      <c r="I56" s="25">
        <v>29622.817999999999</v>
      </c>
    </row>
    <row r="57" spans="2:32">
      <c r="B57" s="446"/>
      <c r="C57" s="2" t="s">
        <v>270</v>
      </c>
      <c r="D57" s="24">
        <v>60502.047999999995</v>
      </c>
      <c r="E57" s="24">
        <v>65105.896000000001</v>
      </c>
      <c r="F57" s="24">
        <v>60960.947</v>
      </c>
      <c r="G57" s="24">
        <v>57828.055000000008</v>
      </c>
      <c r="H57" s="24">
        <v>58669.737000000001</v>
      </c>
      <c r="I57" s="25">
        <v>53303.776000000005</v>
      </c>
    </row>
    <row r="58" spans="2:32">
      <c r="B58" s="446"/>
      <c r="C58" s="2" t="s">
        <v>271</v>
      </c>
      <c r="D58" s="24">
        <v>71039.386999999988</v>
      </c>
      <c r="E58" s="24">
        <v>75910.17</v>
      </c>
      <c r="F58" s="24">
        <v>71138.043000000005</v>
      </c>
      <c r="G58" s="24">
        <v>67918.808999999994</v>
      </c>
      <c r="H58" s="24">
        <v>69148.948000000004</v>
      </c>
      <c r="I58" s="25">
        <v>62769.756000000001</v>
      </c>
    </row>
    <row r="59" spans="2:32">
      <c r="B59" s="446"/>
      <c r="C59" s="2" t="s">
        <v>272</v>
      </c>
      <c r="D59" s="24">
        <v>75841.36</v>
      </c>
      <c r="E59" s="24">
        <v>80560.830999999991</v>
      </c>
      <c r="F59" s="24">
        <v>75561.612999999998</v>
      </c>
      <c r="G59" s="24">
        <v>72519.438999999998</v>
      </c>
      <c r="H59" s="24">
        <v>74100.00499999999</v>
      </c>
      <c r="I59" s="25">
        <v>67208.243000000002</v>
      </c>
    </row>
    <row r="60" spans="2:32">
      <c r="B60" s="446"/>
      <c r="C60" s="2" t="s">
        <v>273</v>
      </c>
      <c r="D60" s="24">
        <v>86420.928999999989</v>
      </c>
      <c r="E60" s="24">
        <v>92639.712000000014</v>
      </c>
      <c r="F60" s="24">
        <v>86818.37000000001</v>
      </c>
      <c r="G60" s="24">
        <v>82587.295000000013</v>
      </c>
      <c r="H60" s="24">
        <v>84125.745999999999</v>
      </c>
      <c r="I60" s="25">
        <v>76371.154999999999</v>
      </c>
    </row>
    <row r="61" spans="2:32">
      <c r="B61" s="446"/>
      <c r="C61" s="2" t="s">
        <v>274</v>
      </c>
      <c r="D61" s="24">
        <v>102928.16900000001</v>
      </c>
      <c r="E61" s="24">
        <v>112120.4</v>
      </c>
      <c r="F61" s="24">
        <v>104930.91</v>
      </c>
      <c r="G61" s="24">
        <v>98253.106999999989</v>
      </c>
      <c r="H61" s="24">
        <v>99570.108000000007</v>
      </c>
      <c r="I61" s="25">
        <v>90534.529999999984</v>
      </c>
    </row>
    <row r="62" spans="2:32">
      <c r="B62" s="446" t="s">
        <v>275</v>
      </c>
      <c r="C62" s="2" t="s">
        <v>269</v>
      </c>
      <c r="D62" s="24">
        <v>2465.77</v>
      </c>
      <c r="E62" s="24">
        <v>2669.0340000000001</v>
      </c>
      <c r="F62" s="24">
        <v>2519.2139999999999</v>
      </c>
      <c r="G62" s="24">
        <v>2339.8359999999998</v>
      </c>
      <c r="H62" s="24">
        <v>2473.2629999999999</v>
      </c>
      <c r="I62" s="25">
        <v>2234.2020000000002</v>
      </c>
    </row>
    <row r="63" spans="2:32">
      <c r="B63" s="446"/>
      <c r="C63" s="2" t="s">
        <v>270</v>
      </c>
      <c r="D63" s="24">
        <v>4437.68</v>
      </c>
      <c r="E63" s="24">
        <v>4803.4960000000001</v>
      </c>
      <c r="F63" s="24">
        <v>4533.8639999999996</v>
      </c>
      <c r="G63" s="24">
        <v>4211.0360000000001</v>
      </c>
      <c r="H63" s="24">
        <v>4451.165</v>
      </c>
      <c r="I63" s="25">
        <v>4020.9250000000002</v>
      </c>
    </row>
    <row r="64" spans="2:32">
      <c r="B64" s="446"/>
      <c r="C64" s="2" t="s">
        <v>271</v>
      </c>
      <c r="D64" s="24">
        <v>5182.7650000000003</v>
      </c>
      <c r="E64" s="24">
        <v>5610.0020000000004</v>
      </c>
      <c r="F64" s="24">
        <v>5295.098</v>
      </c>
      <c r="G64" s="24">
        <v>4918.067</v>
      </c>
      <c r="H64" s="24">
        <v>5198.5140000000001</v>
      </c>
      <c r="I64" s="25">
        <v>4696.0360000000001</v>
      </c>
    </row>
    <row r="65" spans="2:9">
      <c r="B65" s="446"/>
      <c r="C65" s="2" t="s">
        <v>272</v>
      </c>
      <c r="D65" s="24">
        <v>5541.54</v>
      </c>
      <c r="E65" s="24">
        <v>5998.3519999999999</v>
      </c>
      <c r="F65" s="24">
        <v>5661.6490000000003</v>
      </c>
      <c r="G65" s="24">
        <v>5258.5190000000002</v>
      </c>
      <c r="H65" s="24">
        <v>5558.38</v>
      </c>
      <c r="I65" s="25">
        <v>5021.1180000000004</v>
      </c>
    </row>
    <row r="66" spans="2:9">
      <c r="B66" s="446"/>
      <c r="C66" s="2" t="s">
        <v>273</v>
      </c>
      <c r="D66" s="24">
        <v>6436.8890000000001</v>
      </c>
      <c r="E66" s="24">
        <v>6967.509</v>
      </c>
      <c r="F66" s="24">
        <v>6576.4049999999997</v>
      </c>
      <c r="G66" s="24">
        <v>6108.14</v>
      </c>
      <c r="H66" s="24">
        <v>6456.45</v>
      </c>
      <c r="I66" s="25">
        <v>5832.3819999999996</v>
      </c>
    </row>
    <row r="67" spans="2:9" ht="18" thickBot="1">
      <c r="B67" s="447"/>
      <c r="C67" s="30" t="s">
        <v>274</v>
      </c>
      <c r="D67" s="24">
        <v>7954.3580000000002</v>
      </c>
      <c r="E67" s="24">
        <v>8610.07</v>
      </c>
      <c r="F67" s="24">
        <v>8126.7640000000001</v>
      </c>
      <c r="G67" s="24">
        <v>7548.1080000000002</v>
      </c>
      <c r="H67" s="24">
        <v>7978.5309999999999</v>
      </c>
      <c r="I67" s="27">
        <v>7207.3419999999996</v>
      </c>
    </row>
    <row r="68" spans="2:9">
      <c r="B68" s="21"/>
      <c r="C68" s="22" t="s">
        <v>261</v>
      </c>
      <c r="D68" s="22" t="s">
        <v>300</v>
      </c>
      <c r="E68" s="22" t="s">
        <v>301</v>
      </c>
      <c r="F68" s="22" t="s">
        <v>302</v>
      </c>
      <c r="G68" s="22" t="s">
        <v>303</v>
      </c>
      <c r="H68" s="22" t="s">
        <v>304</v>
      </c>
      <c r="I68" s="23" t="s">
        <v>305</v>
      </c>
    </row>
    <row r="69" spans="2:9">
      <c r="B69" s="446" t="s">
        <v>268</v>
      </c>
      <c r="C69" s="2" t="s">
        <v>269</v>
      </c>
      <c r="D69" s="24">
        <v>33002.718000000001</v>
      </c>
      <c r="E69" s="24">
        <v>33539.35</v>
      </c>
      <c r="F69" s="24">
        <v>35168.684000000001</v>
      </c>
      <c r="G69" s="24">
        <v>38088.661</v>
      </c>
      <c r="H69" s="24">
        <v>35621.29</v>
      </c>
      <c r="I69" s="25">
        <v>35793.853999999999</v>
      </c>
    </row>
    <row r="70" spans="2:9">
      <c r="B70" s="446"/>
      <c r="C70" s="2" t="s">
        <v>270</v>
      </c>
      <c r="D70" s="24">
        <v>59775.084999999999</v>
      </c>
      <c r="E70" s="24">
        <v>61516.842000000004</v>
      </c>
      <c r="F70" s="24">
        <v>65140.209000000003</v>
      </c>
      <c r="G70" s="24">
        <v>70224.582000000009</v>
      </c>
      <c r="H70" s="24">
        <v>65309.850999999995</v>
      </c>
      <c r="I70" s="25">
        <v>65173.898999999998</v>
      </c>
    </row>
    <row r="71" spans="2:9">
      <c r="B71" s="446"/>
      <c r="C71" s="2" t="s">
        <v>271</v>
      </c>
      <c r="D71" s="24">
        <v>70161.224000000002</v>
      </c>
      <c r="E71" s="24">
        <v>71558.025999999983</v>
      </c>
      <c r="F71" s="24">
        <v>75486.831999999995</v>
      </c>
      <c r="G71" s="24">
        <v>81510.785999999993</v>
      </c>
      <c r="H71" s="24">
        <v>76054.99500000001</v>
      </c>
      <c r="I71" s="25">
        <v>76229.070000000007</v>
      </c>
    </row>
    <row r="72" spans="2:9">
      <c r="B72" s="446"/>
      <c r="C72" s="2" t="s">
        <v>272</v>
      </c>
      <c r="D72" s="24">
        <v>74881.291000000012</v>
      </c>
      <c r="E72" s="24">
        <v>75862.84599999999</v>
      </c>
      <c r="F72" s="24">
        <v>79653.282000000007</v>
      </c>
      <c r="G72" s="24">
        <v>86197.504000000015</v>
      </c>
      <c r="H72" s="24">
        <v>80658.734000000011</v>
      </c>
      <c r="I72" s="25">
        <v>81133.663</v>
      </c>
    </row>
    <row r="73" spans="2:9">
      <c r="B73" s="446"/>
      <c r="C73" s="2" t="s">
        <v>273</v>
      </c>
      <c r="D73" s="24">
        <v>85364.394</v>
      </c>
      <c r="E73" s="24">
        <v>87673.563999999998</v>
      </c>
      <c r="F73" s="24">
        <v>92242.239000000001</v>
      </c>
      <c r="G73" s="24">
        <v>99766.338000000003</v>
      </c>
      <c r="H73" s="24">
        <v>92966.741000000009</v>
      </c>
      <c r="I73" s="25">
        <v>92957.834999999992</v>
      </c>
    </row>
    <row r="74" spans="2:9">
      <c r="B74" s="446"/>
      <c r="C74" s="2" t="s">
        <v>274</v>
      </c>
      <c r="D74" s="24">
        <v>101748.897</v>
      </c>
      <c r="E74" s="24">
        <v>107088.87400000001</v>
      </c>
      <c r="F74" s="24">
        <v>112965.91100000001</v>
      </c>
      <c r="G74" s="24">
        <v>122124.005</v>
      </c>
      <c r="H74" s="24">
        <v>112991.37699999999</v>
      </c>
      <c r="I74" s="25">
        <v>111803.63599999998</v>
      </c>
    </row>
    <row r="75" spans="2:9">
      <c r="B75" s="446" t="s">
        <v>275</v>
      </c>
      <c r="C75" s="2" t="s">
        <v>269</v>
      </c>
      <c r="D75" s="24">
        <v>2435.8020000000001</v>
      </c>
      <c r="E75" s="24">
        <v>2680.4630000000002</v>
      </c>
      <c r="F75" s="24">
        <v>2600.848</v>
      </c>
      <c r="G75" s="24">
        <v>2943.6120000000001</v>
      </c>
      <c r="H75" s="24">
        <v>2740.3</v>
      </c>
      <c r="I75" s="25">
        <v>2702.087</v>
      </c>
    </row>
    <row r="76" spans="2:9">
      <c r="B76" s="446"/>
      <c r="C76" s="2" t="s">
        <v>270</v>
      </c>
      <c r="D76" s="24">
        <v>4383.7449999999999</v>
      </c>
      <c r="E76" s="24">
        <v>4824.067</v>
      </c>
      <c r="F76" s="24">
        <v>4680.7820000000002</v>
      </c>
      <c r="G76" s="24">
        <v>5297.6580000000004</v>
      </c>
      <c r="H76" s="24">
        <v>4931.7550000000001</v>
      </c>
      <c r="I76" s="25">
        <v>4862.982</v>
      </c>
    </row>
    <row r="77" spans="2:9">
      <c r="B77" s="446"/>
      <c r="C77" s="2" t="s">
        <v>271</v>
      </c>
      <c r="D77" s="24">
        <v>5119.7749999999996</v>
      </c>
      <c r="E77" s="24">
        <v>5634.0259999999998</v>
      </c>
      <c r="F77" s="24">
        <v>5466.683</v>
      </c>
      <c r="G77" s="24">
        <v>6187.1329999999998</v>
      </c>
      <c r="H77" s="24">
        <v>5759.7950000000001</v>
      </c>
      <c r="I77" s="25">
        <v>5679.4750000000004</v>
      </c>
    </row>
    <row r="78" spans="2:9">
      <c r="B78" s="446"/>
      <c r="C78" s="2" t="s">
        <v>272</v>
      </c>
      <c r="D78" s="24">
        <v>5474.1890000000003</v>
      </c>
      <c r="E78" s="24">
        <v>6024.0389999999998</v>
      </c>
      <c r="F78" s="24">
        <v>5845.1130000000003</v>
      </c>
      <c r="G78" s="24">
        <v>6615.4350000000004</v>
      </c>
      <c r="H78" s="24">
        <v>6158.5150000000003</v>
      </c>
      <c r="I78" s="25">
        <v>6072.6350000000002</v>
      </c>
    </row>
    <row r="79" spans="2:9">
      <c r="B79" s="446"/>
      <c r="C79" s="2" t="s">
        <v>273</v>
      </c>
      <c r="D79" s="24">
        <v>6358.6570000000002</v>
      </c>
      <c r="E79" s="24">
        <v>6997.3459999999995</v>
      </c>
      <c r="F79" s="24">
        <v>6789.51</v>
      </c>
      <c r="G79" s="24">
        <v>7684.2939999999999</v>
      </c>
      <c r="H79" s="24">
        <v>7153.549</v>
      </c>
      <c r="I79" s="25">
        <v>7053.7939999999999</v>
      </c>
    </row>
    <row r="80" spans="2:9" ht="18" thickBot="1">
      <c r="B80" s="447"/>
      <c r="C80" s="30" t="s">
        <v>274</v>
      </c>
      <c r="D80" s="24">
        <v>7857.683</v>
      </c>
      <c r="E80" s="24">
        <v>8646.9410000000007</v>
      </c>
      <c r="F80" s="24">
        <v>8390.1080000000002</v>
      </c>
      <c r="G80" s="24">
        <v>9495.8340000000007</v>
      </c>
      <c r="H80" s="24">
        <v>8839.9670000000006</v>
      </c>
      <c r="I80" s="27">
        <v>8716.6959999999999</v>
      </c>
    </row>
    <row r="81" spans="2:9">
      <c r="B81" s="21"/>
      <c r="C81" s="22" t="s">
        <v>261</v>
      </c>
      <c r="D81" s="22" t="s">
        <v>306</v>
      </c>
      <c r="E81" s="22" t="s">
        <v>307</v>
      </c>
      <c r="F81" s="22" t="s">
        <v>308</v>
      </c>
      <c r="G81" s="28" t="s">
        <v>309</v>
      </c>
      <c r="H81" s="22" t="s">
        <v>310</v>
      </c>
      <c r="I81" s="23" t="s">
        <v>311</v>
      </c>
    </row>
    <row r="82" spans="2:9">
      <c r="B82" s="446" t="s">
        <v>268</v>
      </c>
      <c r="C82" s="2" t="s">
        <v>269</v>
      </c>
      <c r="D82" s="24">
        <v>35172.391000000003</v>
      </c>
      <c r="E82" s="24">
        <v>37255.398000000001</v>
      </c>
      <c r="F82" s="24">
        <v>34390.576000000001</v>
      </c>
      <c r="G82" s="29">
        <v>34358.140999999996</v>
      </c>
      <c r="H82" s="24">
        <v>34013.857000000004</v>
      </c>
      <c r="I82" s="25">
        <v>30267.618000000002</v>
      </c>
    </row>
    <row r="83" spans="2:9">
      <c r="B83" s="446"/>
      <c r="C83" s="2" t="s">
        <v>270</v>
      </c>
      <c r="D83" s="24">
        <v>64821.420999999995</v>
      </c>
      <c r="E83" s="24">
        <v>68320.679999999993</v>
      </c>
      <c r="F83" s="24">
        <v>62675.118000000002</v>
      </c>
      <c r="G83" s="29">
        <v>62805.036999999997</v>
      </c>
      <c r="H83" s="24">
        <v>61666.661</v>
      </c>
      <c r="I83" s="25">
        <v>55389.170000000006</v>
      </c>
    </row>
    <row r="84" spans="2:9">
      <c r="B84" s="446"/>
      <c r="C84" s="2" t="s">
        <v>271</v>
      </c>
      <c r="D84" s="24">
        <v>75311.763999999996</v>
      </c>
      <c r="E84" s="24">
        <v>79532.683000000005</v>
      </c>
      <c r="F84" s="24">
        <v>73216.521999999997</v>
      </c>
      <c r="G84" s="29">
        <v>73284.800999999992</v>
      </c>
      <c r="H84" s="24">
        <v>72329.428</v>
      </c>
      <c r="I84" s="25">
        <v>64705.62</v>
      </c>
    </row>
    <row r="85" spans="2:9">
      <c r="B85" s="446"/>
      <c r="C85" s="2" t="s">
        <v>272</v>
      </c>
      <c r="D85" s="24">
        <v>79668.695000000007</v>
      </c>
      <c r="E85" s="24">
        <v>84334.247000000003</v>
      </c>
      <c r="F85" s="24">
        <v>77882.481</v>
      </c>
      <c r="G85" s="29">
        <v>77843.543000000005</v>
      </c>
      <c r="H85" s="24">
        <v>77155.311000000002</v>
      </c>
      <c r="I85" s="25">
        <v>68712.575000000012</v>
      </c>
    </row>
    <row r="86" spans="2:9">
      <c r="B86" s="446"/>
      <c r="C86" s="2" t="s">
        <v>273</v>
      </c>
      <c r="D86" s="24">
        <v>92001.737000000008</v>
      </c>
      <c r="E86" s="24">
        <v>97279.454000000012</v>
      </c>
      <c r="F86" s="24">
        <v>89460.481</v>
      </c>
      <c r="G86" s="29">
        <v>89463.532000000007</v>
      </c>
      <c r="H86" s="24">
        <v>88054.629000000001</v>
      </c>
      <c r="I86" s="25">
        <v>78652.238999999987</v>
      </c>
    </row>
    <row r="87" spans="2:9">
      <c r="B87" s="446"/>
      <c r="C87" s="2" t="s">
        <v>274</v>
      </c>
      <c r="D87" s="24">
        <v>112151.18600000002</v>
      </c>
      <c r="E87" s="24">
        <v>118404.345</v>
      </c>
      <c r="F87" s="24">
        <v>108108.6</v>
      </c>
      <c r="G87" s="29">
        <v>108182.26500000001</v>
      </c>
      <c r="H87" s="24">
        <v>105168.992</v>
      </c>
      <c r="I87" s="25">
        <v>94369.107999999993</v>
      </c>
    </row>
    <row r="88" spans="2:9">
      <c r="B88" s="446" t="s">
        <v>275</v>
      </c>
      <c r="C88" s="2" t="s">
        <v>269</v>
      </c>
      <c r="D88" s="24">
        <v>2631.7429999999999</v>
      </c>
      <c r="E88" s="24">
        <v>2895.3710000000001</v>
      </c>
      <c r="F88" s="24">
        <v>2678.2</v>
      </c>
      <c r="G88" s="29">
        <v>2609.1709999999998</v>
      </c>
      <c r="H88" s="24">
        <v>2528.8130000000001</v>
      </c>
      <c r="I88" s="25">
        <v>2118.1869999999999</v>
      </c>
    </row>
    <row r="89" spans="2:9">
      <c r="B89" s="446"/>
      <c r="C89" s="2" t="s">
        <v>270</v>
      </c>
      <c r="D89" s="24">
        <v>4736.3829999999998</v>
      </c>
      <c r="E89" s="24">
        <v>5210.8389999999999</v>
      </c>
      <c r="F89" s="24">
        <v>4819.9939999999997</v>
      </c>
      <c r="G89" s="29">
        <v>4695.7610000000004</v>
      </c>
      <c r="H89" s="24">
        <v>4551.1390000000001</v>
      </c>
      <c r="I89" s="25">
        <v>3812.13</v>
      </c>
    </row>
    <row r="90" spans="2:9">
      <c r="B90" s="446"/>
      <c r="C90" s="2" t="s">
        <v>271</v>
      </c>
      <c r="D90" s="24">
        <v>5531.62</v>
      </c>
      <c r="E90" s="24">
        <v>6085.7370000000001</v>
      </c>
      <c r="F90" s="24">
        <v>5629.2690000000002</v>
      </c>
      <c r="G90" s="29">
        <v>5484.1779999999999</v>
      </c>
      <c r="H90" s="24">
        <v>5315.2740000000003</v>
      </c>
      <c r="I90" s="25">
        <v>4452.1859999999997</v>
      </c>
    </row>
    <row r="91" spans="2:9">
      <c r="B91" s="446"/>
      <c r="C91" s="2" t="s">
        <v>272</v>
      </c>
      <c r="D91" s="24">
        <v>5914.5450000000001</v>
      </c>
      <c r="E91" s="24">
        <v>6507.02</v>
      </c>
      <c r="F91" s="24">
        <v>6018.9530000000004</v>
      </c>
      <c r="G91" s="29">
        <v>5863.8180000000002</v>
      </c>
      <c r="H91" s="24">
        <v>5683.2219999999998</v>
      </c>
      <c r="I91" s="25">
        <v>4760.3869999999997</v>
      </c>
    </row>
    <row r="92" spans="2:9">
      <c r="B92" s="446"/>
      <c r="C92" s="2" t="s">
        <v>273</v>
      </c>
      <c r="D92" s="24">
        <v>6870.16</v>
      </c>
      <c r="E92" s="24">
        <v>7558.3630000000003</v>
      </c>
      <c r="F92" s="24">
        <v>6991.4380000000001</v>
      </c>
      <c r="G92" s="29">
        <v>6811.2380000000003</v>
      </c>
      <c r="H92" s="24">
        <v>6601.4629999999997</v>
      </c>
      <c r="I92" s="25">
        <v>5529.5249999999996</v>
      </c>
    </row>
    <row r="93" spans="2:9" ht="18" thickBot="1">
      <c r="B93" s="447"/>
      <c r="C93" s="30" t="s">
        <v>274</v>
      </c>
      <c r="D93" s="24">
        <v>8489.7720000000008</v>
      </c>
      <c r="E93" s="24">
        <v>9340.2150000000001</v>
      </c>
      <c r="F93" s="24">
        <v>8639.64</v>
      </c>
      <c r="G93" s="31">
        <v>8416.9590000000007</v>
      </c>
      <c r="H93" s="32">
        <v>8157.73</v>
      </c>
      <c r="I93" s="27">
        <v>6833.0860000000002</v>
      </c>
    </row>
    <row r="94" spans="2:9">
      <c r="B94" s="21"/>
      <c r="C94" s="22" t="s">
        <v>261</v>
      </c>
      <c r="D94" s="22" t="s">
        <v>312</v>
      </c>
      <c r="E94" s="22" t="s">
        <v>313</v>
      </c>
      <c r="F94" s="22" t="s">
        <v>314</v>
      </c>
      <c r="G94" s="22" t="s">
        <v>315</v>
      </c>
      <c r="H94" s="22" t="s">
        <v>316</v>
      </c>
      <c r="I94" s="23" t="s">
        <v>317</v>
      </c>
    </row>
    <row r="95" spans="2:9">
      <c r="B95" s="446" t="s">
        <v>268</v>
      </c>
      <c r="C95" s="2" t="s">
        <v>269</v>
      </c>
      <c r="D95" s="24">
        <v>30669.917999999998</v>
      </c>
      <c r="E95" s="24">
        <v>33942.714999999997</v>
      </c>
      <c r="F95" s="24">
        <v>30467.851999999999</v>
      </c>
      <c r="G95" s="24">
        <v>31934.659000000003</v>
      </c>
      <c r="H95" s="24">
        <v>30430.047999999999</v>
      </c>
      <c r="I95" s="25">
        <v>27503.754999999997</v>
      </c>
    </row>
    <row r="96" spans="2:9">
      <c r="B96" s="446"/>
      <c r="C96" s="2" t="s">
        <v>270</v>
      </c>
      <c r="D96" s="24">
        <v>55549.228999999999</v>
      </c>
      <c r="E96" s="24">
        <v>62162.509999999995</v>
      </c>
      <c r="F96" s="24">
        <v>55336.99</v>
      </c>
      <c r="G96" s="24">
        <v>58218.133000000002</v>
      </c>
      <c r="H96" s="24">
        <v>55532.19</v>
      </c>
      <c r="I96" s="25">
        <v>50093.133000000002</v>
      </c>
    </row>
    <row r="97" spans="2:9">
      <c r="B97" s="446"/>
      <c r="C97" s="2" t="s">
        <v>271</v>
      </c>
      <c r="D97" s="24">
        <v>65236.519</v>
      </c>
      <c r="E97" s="24">
        <v>72549.881000000008</v>
      </c>
      <c r="F97" s="24">
        <v>64912.925999999999</v>
      </c>
      <c r="G97" s="24">
        <v>68081.671000000002</v>
      </c>
      <c r="H97" s="24">
        <v>64894.660999999993</v>
      </c>
      <c r="I97" s="25">
        <v>58576.201000000001</v>
      </c>
    </row>
    <row r="98" spans="2:9">
      <c r="B98" s="446"/>
      <c r="C98" s="2" t="s">
        <v>272</v>
      </c>
      <c r="D98" s="24">
        <v>69631.805000000008</v>
      </c>
      <c r="E98" s="24">
        <v>77005.881999999998</v>
      </c>
      <c r="F98" s="24">
        <v>69194.238999999987</v>
      </c>
      <c r="G98" s="24">
        <v>72423.53899999999</v>
      </c>
      <c r="H98" s="24">
        <v>68995.972999999998</v>
      </c>
      <c r="I98" s="25">
        <v>62335.346999999994</v>
      </c>
    </row>
    <row r="99" spans="2:9">
      <c r="B99" s="446"/>
      <c r="C99" s="2" t="s">
        <v>273</v>
      </c>
      <c r="D99" s="24">
        <v>79264.722000000009</v>
      </c>
      <c r="E99" s="24">
        <v>88312.258999999991</v>
      </c>
      <c r="F99" s="24">
        <v>78823.715000000011</v>
      </c>
      <c r="G99" s="24">
        <v>82931.546999999991</v>
      </c>
      <c r="H99" s="24">
        <v>79089.120999999999</v>
      </c>
      <c r="I99" s="25">
        <v>71449.205000000002</v>
      </c>
    </row>
    <row r="100" spans="2:9">
      <c r="B100" s="446"/>
      <c r="C100" s="2" t="s">
        <v>274</v>
      </c>
      <c r="D100" s="24">
        <v>94212.236999999994</v>
      </c>
      <c r="E100" s="24">
        <v>106333.78699999998</v>
      </c>
      <c r="F100" s="24">
        <v>93788.15400000001</v>
      </c>
      <c r="G100" s="24">
        <v>99622.402000000002</v>
      </c>
      <c r="H100" s="24">
        <v>95184.407999999996</v>
      </c>
      <c r="I100" s="25">
        <v>85998.853999999992</v>
      </c>
    </row>
    <row r="101" spans="2:9">
      <c r="B101" s="446" t="s">
        <v>275</v>
      </c>
      <c r="C101" s="2" t="s">
        <v>269</v>
      </c>
      <c r="D101" s="24">
        <v>2208.7649999999999</v>
      </c>
      <c r="E101" s="24">
        <v>2432.5160000000001</v>
      </c>
      <c r="F101" s="24">
        <v>2148.6970000000001</v>
      </c>
      <c r="G101" s="24">
        <v>2354.8180000000002</v>
      </c>
      <c r="H101" s="24">
        <v>2256.2930000000001</v>
      </c>
      <c r="I101" s="25">
        <v>2083.6489999999999</v>
      </c>
    </row>
    <row r="102" spans="2:9">
      <c r="B102" s="446"/>
      <c r="C102" s="2" t="s">
        <v>270</v>
      </c>
      <c r="D102" s="24">
        <v>3975.1439999999998</v>
      </c>
      <c r="E102" s="24">
        <v>4377.8320000000003</v>
      </c>
      <c r="F102" s="24">
        <v>3867.04</v>
      </c>
      <c r="G102" s="24">
        <v>4237.9989999999998</v>
      </c>
      <c r="H102" s="24">
        <v>4060.681</v>
      </c>
      <c r="I102" s="25">
        <v>3749.971</v>
      </c>
    </row>
    <row r="103" spans="2:9">
      <c r="B103" s="446"/>
      <c r="C103" s="2" t="s">
        <v>271</v>
      </c>
      <c r="D103" s="24">
        <v>4642.57</v>
      </c>
      <c r="E103" s="24">
        <v>5112.8689999999997</v>
      </c>
      <c r="F103" s="24">
        <v>4516.3140000000003</v>
      </c>
      <c r="G103" s="24">
        <v>4949.558</v>
      </c>
      <c r="H103" s="24">
        <v>4742.4679999999998</v>
      </c>
      <c r="I103" s="25">
        <v>4379.59</v>
      </c>
    </row>
    <row r="104" spans="2:9">
      <c r="B104" s="446"/>
      <c r="C104" s="2" t="s">
        <v>272</v>
      </c>
      <c r="D104" s="24">
        <v>4963.95</v>
      </c>
      <c r="E104" s="24">
        <v>5466.8050000000003</v>
      </c>
      <c r="F104" s="24">
        <v>4828.9549999999999</v>
      </c>
      <c r="G104" s="24">
        <v>5292.1890000000003</v>
      </c>
      <c r="H104" s="24">
        <v>5070.7640000000001</v>
      </c>
      <c r="I104" s="25">
        <v>4682.7650000000003</v>
      </c>
    </row>
    <row r="105" spans="2:9">
      <c r="B105" s="446"/>
      <c r="C105" s="2" t="s">
        <v>273</v>
      </c>
      <c r="D105" s="24">
        <v>5765.9780000000001</v>
      </c>
      <c r="E105" s="24">
        <v>6350.08</v>
      </c>
      <c r="F105" s="24">
        <v>5609.1710000000003</v>
      </c>
      <c r="G105" s="24">
        <v>6147.25</v>
      </c>
      <c r="H105" s="24">
        <v>5890.05</v>
      </c>
      <c r="I105" s="25">
        <v>5439.3620000000001</v>
      </c>
    </row>
    <row r="106" spans="2:9" ht="18" thickBot="1">
      <c r="B106" s="447"/>
      <c r="C106" s="30" t="s">
        <v>274</v>
      </c>
      <c r="D106" s="32">
        <v>7125.2830000000004</v>
      </c>
      <c r="E106" s="32">
        <v>7847.0839999999998</v>
      </c>
      <c r="F106" s="32">
        <v>6931.509</v>
      </c>
      <c r="G106" s="32">
        <v>7596.4390000000003</v>
      </c>
      <c r="H106" s="32">
        <v>7278.6040000000003</v>
      </c>
      <c r="I106" s="27">
        <v>6721.6679999999997</v>
      </c>
    </row>
    <row r="107" spans="2:9">
      <c r="B107" s="21"/>
      <c r="C107" s="22" t="s">
        <v>261</v>
      </c>
      <c r="D107" s="22" t="s">
        <v>318</v>
      </c>
      <c r="E107" s="23" t="s">
        <v>319</v>
      </c>
    </row>
    <row r="108" spans="2:9">
      <c r="B108" s="446" t="s">
        <v>268</v>
      </c>
      <c r="C108" s="2" t="s">
        <v>269</v>
      </c>
      <c r="D108" s="24">
        <v>29617.946</v>
      </c>
      <c r="E108" s="25">
        <v>30555.634000000002</v>
      </c>
    </row>
    <row r="109" spans="2:9">
      <c r="B109" s="446"/>
      <c r="C109" s="2" t="s">
        <v>270</v>
      </c>
      <c r="D109" s="24">
        <v>53609.873999999996</v>
      </c>
      <c r="E109" s="25">
        <v>55315.24</v>
      </c>
    </row>
    <row r="110" spans="2:9">
      <c r="B110" s="446"/>
      <c r="C110" s="2" t="s">
        <v>271</v>
      </c>
      <c r="D110" s="24">
        <v>62967.327000000005</v>
      </c>
      <c r="E110" s="25">
        <v>64818.554999999993</v>
      </c>
    </row>
    <row r="111" spans="2:9">
      <c r="B111" s="446"/>
      <c r="C111" s="2" t="s">
        <v>272</v>
      </c>
      <c r="D111" s="24">
        <v>67228.755999999994</v>
      </c>
      <c r="E111" s="25">
        <v>69174.707999999999</v>
      </c>
    </row>
    <row r="112" spans="2:9">
      <c r="B112" s="446"/>
      <c r="C112" s="2" t="s">
        <v>273</v>
      </c>
      <c r="D112" s="24">
        <v>76542.957000000009</v>
      </c>
      <c r="E112" s="25">
        <v>79246.266000000003</v>
      </c>
    </row>
    <row r="113" spans="2:5">
      <c r="B113" s="446"/>
      <c r="C113" s="2" t="s">
        <v>274</v>
      </c>
      <c r="D113" s="24">
        <v>91016.267999999996</v>
      </c>
      <c r="E113" s="25">
        <v>95356.637999999992</v>
      </c>
    </row>
    <row r="114" spans="2:5">
      <c r="B114" s="446" t="s">
        <v>275</v>
      </c>
      <c r="C114" s="2" t="s">
        <v>269</v>
      </c>
      <c r="D114" s="24">
        <v>2155.723</v>
      </c>
      <c r="E114" s="25">
        <v>2453.663</v>
      </c>
    </row>
    <row r="115" spans="2:5">
      <c r="B115" s="446"/>
      <c r="C115" s="2" t="s">
        <v>270</v>
      </c>
      <c r="D115" s="24">
        <v>3879.6840000000002</v>
      </c>
      <c r="E115" s="25">
        <v>4415.8900000000003</v>
      </c>
    </row>
    <row r="116" spans="2:5">
      <c r="B116" s="446"/>
      <c r="C116" s="2" t="s">
        <v>271</v>
      </c>
      <c r="D116" s="24">
        <v>4531.0810000000001</v>
      </c>
      <c r="E116" s="25">
        <v>5157.317</v>
      </c>
    </row>
    <row r="117" spans="2:5">
      <c r="B117" s="446"/>
      <c r="C117" s="2" t="s">
        <v>272</v>
      </c>
      <c r="D117" s="24">
        <v>4844.7439999999997</v>
      </c>
      <c r="E117" s="25">
        <v>5514.3310000000001</v>
      </c>
    </row>
    <row r="118" spans="2:5">
      <c r="B118" s="446"/>
      <c r="C118" s="2" t="s">
        <v>273</v>
      </c>
      <c r="D118" s="24">
        <v>5627.5119999999997</v>
      </c>
      <c r="E118" s="25">
        <v>6405.2839999999997</v>
      </c>
    </row>
    <row r="119" spans="2:5" ht="18" thickBot="1">
      <c r="B119" s="447"/>
      <c r="C119" s="30" t="s">
        <v>274</v>
      </c>
      <c r="D119" s="32">
        <v>6954.174</v>
      </c>
      <c r="E119" s="27">
        <v>7915.3019999999997</v>
      </c>
    </row>
  </sheetData>
  <mergeCells count="20">
    <mergeCell ref="B108:B113"/>
    <mergeCell ref="B114:B119"/>
    <mergeCell ref="B43:B48"/>
    <mergeCell ref="B49:B54"/>
    <mergeCell ref="B56:B61"/>
    <mergeCell ref="B62:B67"/>
    <mergeCell ref="B69:B74"/>
    <mergeCell ref="B75:B80"/>
    <mergeCell ref="B82:B87"/>
    <mergeCell ref="B88:B93"/>
    <mergeCell ref="B95:B100"/>
    <mergeCell ref="B101:B106"/>
    <mergeCell ref="B17:B22"/>
    <mergeCell ref="B23:B28"/>
    <mergeCell ref="B30:B35"/>
    <mergeCell ref="B36:B41"/>
    <mergeCell ref="AA1:AF1"/>
    <mergeCell ref="L1:Q1"/>
    <mergeCell ref="B4:B9"/>
    <mergeCell ref="B10:B15"/>
  </mergeCells>
  <phoneticPr fontId="1"/>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vt:i4>
      </vt:variant>
    </vt:vector>
  </HeadingPairs>
  <TitlesOfParts>
    <vt:vector size="12" baseType="lpstr">
      <vt:lpstr>目次・使用マニュアル</vt:lpstr>
      <vt:lpstr>基本情報</vt:lpstr>
      <vt:lpstr>暖房</vt:lpstr>
      <vt:lpstr>冷房</vt:lpstr>
      <vt:lpstr>給湯</vt:lpstr>
      <vt:lpstr>その他</vt:lpstr>
      <vt:lpstr>発電</vt:lpstr>
      <vt:lpstr>合計</vt:lpstr>
      <vt:lpstr>都市別人数別標準値</vt:lpstr>
      <vt:lpstr>地域別用途別基準値</vt:lpstr>
      <vt:lpstr>計算過程</vt:lpstr>
      <vt:lpstr>光熱費の計算</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野池政宏</dc:creator>
  <cp:lastModifiedBy>それからデザイン</cp:lastModifiedBy>
  <dcterms:created xsi:type="dcterms:W3CDTF">2016-06-08T05:59:30Z</dcterms:created>
  <dcterms:modified xsi:type="dcterms:W3CDTF">2019-04-18T09:55:21Z</dcterms:modified>
</cp:coreProperties>
</file>